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3030" windowHeight="1785" tabRatio="1000" activeTab="6"/>
  </bookViews>
  <sheets>
    <sheet name="2.1 Stafróf" sheetId="1" r:id="rId1"/>
    <sheet name="2.2 Listi" sheetId="2" r:id="rId2"/>
    <sheet name="2.3 Kerfi" sheetId="3" r:id="rId3"/>
    <sheet name="3.1 Yfirlit" sheetId="4" r:id="rId4"/>
    <sheet name="3.2 Efnah." sheetId="5" r:id="rId5"/>
    <sheet name="3.3 Sjóðs. " sheetId="6" r:id="rId6"/>
    <sheet name="4.1. Samtryggingard." sheetId="7" r:id="rId7"/>
    <sheet name="4.2 Kennitölur (samtr)" sheetId="8" r:id="rId8"/>
    <sheet name="5.1. Séreignard." sheetId="9" r:id="rId9"/>
    <sheet name="5.2 Kennitölur (séreign)" sheetId="10" r:id="rId10"/>
    <sheet name="6.1 Sundurliðun" sheetId="11" r:id="rId11"/>
    <sheet name="7.1 Séreign þróun" sheetId="12" r:id="rId12"/>
  </sheets>
  <definedNames>
    <definedName name="altl_L">#REF!</definedName>
    <definedName name="Ár">#REF!</definedName>
    <definedName name="dálkur">#REF!</definedName>
    <definedName name="endur_lyklar">#REF!</definedName>
    <definedName name="eric_L">#REF!</definedName>
    <definedName name="iset_L">#REF!</definedName>
    <definedName name="KENNI">'4.1. Samtryggingard.'!$I$165:$AS$165+'5.1. Séreignard.'!#REF!</definedName>
    <definedName name="líf_fernur">#REF!</definedName>
    <definedName name="líf_lyklar">#REF!</definedName>
    <definedName name="ltis_L">#REF!</definedName>
    <definedName name="ltmi_L">#REF!</definedName>
    <definedName name="lykill">#REF!</definedName>
    <definedName name="lyklar">#REF!</definedName>
    <definedName name="lyklar_líf">#REF!</definedName>
    <definedName name="lyklar_skaða">#REF!</definedName>
    <definedName name="_xlnm.Print_Area" localSheetId="3">'3.1 Yfirlit'!$A$1:$AO$63</definedName>
    <definedName name="_xlnm.Print_Area" localSheetId="4">'3.2 Efnah.'!$A$1:$AO$59</definedName>
    <definedName name="_xlnm.Print_Area" localSheetId="5">'3.3 Sjóðs. '!$A$1:$AO$42</definedName>
    <definedName name="_xlnm.Print_Area" localSheetId="6">'4.1. Samtryggingard.'!$A$1:$AX$159</definedName>
    <definedName name="_xlnm.Print_Area" localSheetId="7">'4.2 Kennitölur (samtr)'!$A$1:$AX$59</definedName>
    <definedName name="_xlnm.Print_Area" localSheetId="8">'5.1. Séreignard.'!$A$1:$AT$161</definedName>
    <definedName name="_xlnm.Print_Area" localSheetId="9">'5.2 Kennitölur (séreign)'!$B$1:$AT$55</definedName>
    <definedName name="_xlnm.Print_Area" localSheetId="10">'6.1 Sundurliðun'!$A$1:$CJ$38</definedName>
    <definedName name="_xlnm.Print_Area" localSheetId="11">'7.1 Séreign þróun'!$A$1:$G$34</definedName>
    <definedName name="_xlnm.Print_Titles" localSheetId="3">'3.1 Yfirlit'!$A:$A</definedName>
    <definedName name="_xlnm.Print_Titles" localSheetId="4">'3.2 Efnah.'!$A:$A</definedName>
    <definedName name="_xlnm.Print_Titles" localSheetId="5">'3.3 Sjóðs. '!$A:$A</definedName>
    <definedName name="_xlnm.Print_Titles" localSheetId="6">'4.1. Samtryggingard.'!$A:$A</definedName>
    <definedName name="_xlnm.Print_Titles" localSheetId="7">'4.2 Kennitölur (samtr)'!$A:$B</definedName>
    <definedName name="_xlnm.Print_Titles" localSheetId="8">'5.1. Séreignard.'!$A:$B</definedName>
    <definedName name="_xlnm.Print_Titles" localSheetId="9">'5.2 Kennitölur (séreign)'!$B:$B</definedName>
    <definedName name="_xlnm.Print_Titles" localSheetId="10">'6.1 Sundurliðun'!$A:$B</definedName>
    <definedName name="reikningsár">#REF!</definedName>
    <definedName name="salt_L">#REF!</definedName>
    <definedName name="samtals_gögn">#REF!</definedName>
    <definedName name="sjat_L">#REF!</definedName>
    <definedName name="skaða_lyklar">#REF!</definedName>
    <definedName name="sql_lyklar">#REF!</definedName>
    <definedName name="trms_L">#REF!</definedName>
    <definedName name="trng_L">#REF!</definedName>
    <definedName name="vais_L">#REF!</definedName>
    <definedName name="veis_L">#REF!</definedName>
    <definedName name="vete_L">#REF!</definedName>
    <definedName name="vltr_L">#REF!</definedName>
    <definedName name="vltr_lyklar">#REF!</definedName>
    <definedName name="voit_L">#REF!</definedName>
  </definedNames>
  <calcPr fullCalcOnLoad="1"/>
</workbook>
</file>

<file path=xl/sharedStrings.xml><?xml version="1.0" encoding="utf-8"?>
<sst xmlns="http://schemas.openxmlformats.org/spreadsheetml/2006/main" count="1948" uniqueCount="625">
  <si>
    <t>Sameinaði lífeyrissjóðurinn</t>
  </si>
  <si>
    <t>Frjálsi lífeyris-sjóðurinn</t>
  </si>
  <si>
    <t>Söfnunarsj. lífeyris-réttinda</t>
  </si>
  <si>
    <t>Lífeyrissjóður bankamanna</t>
  </si>
  <si>
    <t>Eftirlaunasj. Reykjanes-bæjar</t>
  </si>
  <si>
    <t>Eftirlaunasj. Sláturfélags Suðurlands</t>
  </si>
  <si>
    <t>Lífeyris-sjóðurinn Skjöldur</t>
  </si>
  <si>
    <t>Lífeyrissj.</t>
  </si>
  <si>
    <t>Fjárhæðir í þús. kr.</t>
  </si>
  <si>
    <t>LÍFEYRISSJ.</t>
  </si>
  <si>
    <t>með ábyrgð</t>
  </si>
  <si>
    <t>án ábyrgðar</t>
  </si>
  <si>
    <t xml:space="preserve">SAMTALS  </t>
  </si>
  <si>
    <t>annarra</t>
  </si>
  <si>
    <t>B-deild</t>
  </si>
  <si>
    <t>A-deild</t>
  </si>
  <si>
    <t>Stigadeild</t>
  </si>
  <si>
    <t>V-deild</t>
  </si>
  <si>
    <t>Deild I</t>
  </si>
  <si>
    <t>Deild II</t>
  </si>
  <si>
    <t>HefurBakábyrgð</t>
  </si>
  <si>
    <t>Nei</t>
  </si>
  <si>
    <t>Já</t>
  </si>
  <si>
    <t>Almenni lífeyrissjóðurinn</t>
  </si>
  <si>
    <t>Festa lífeyrissjóður</t>
  </si>
  <si>
    <t>Gildi lífeyrissjóður</t>
  </si>
  <si>
    <t>Íslenski lífeyrissjóðurinn</t>
  </si>
  <si>
    <t>Lífeyrissjóður bænda</t>
  </si>
  <si>
    <t>Lífeyrissjóður Rangæinga</t>
  </si>
  <si>
    <t>Lífeyrissjóður verkfræðinga</t>
  </si>
  <si>
    <t>Lífeyrissjóður Vestfirðinga</t>
  </si>
  <si>
    <t>Stafir lífeyrissjóður</t>
  </si>
  <si>
    <t>Eftirlaunadeild</t>
  </si>
  <si>
    <t>Lífeyrisdeild</t>
  </si>
  <si>
    <t>Tryggingadeild</t>
  </si>
  <si>
    <t>Samtryggingardeild</t>
  </si>
  <si>
    <t>Tryggingardeild</t>
  </si>
  <si>
    <t>Hlutfallsdeild</t>
  </si>
  <si>
    <t>Yfirlit um breytingu á hreinni</t>
  </si>
  <si>
    <t>eign til greiðslu lífeyris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</si>
  <si>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</si>
  <si>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</si>
  <si>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</si>
  <si>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</si>
  <si>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</t>
  </si>
  <si>
    <t xml:space="preserve">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</si>
  <si>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</si>
  <si>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</si>
  <si>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</si>
  <si>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</si>
  <si>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</si>
  <si>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</si>
  <si>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</si>
  <si>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</si>
  <si>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</si>
  <si>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</si>
  <si>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</si>
  <si>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</si>
  <si>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</si>
  <si>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</si>
  <si>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</si>
  <si>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</si>
  <si>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</si>
  <si>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</si>
  <si>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</si>
  <si>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</si>
  <si>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</si>
  <si>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</si>
  <si>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</si>
  <si>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Fjárfestingargjöld    </t>
  </si>
  <si>
    <t xml:space="preserve">Rekstrarkostnaður    </t>
  </si>
  <si>
    <t xml:space="preserve">    Annar rekstrarkostnaður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</si>
  <si>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</si>
  <si>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</si>
  <si>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</si>
  <si>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</si>
  <si>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</si>
  <si>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</si>
  <si>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>Matsbreytingar</t>
  </si>
  <si>
    <t>Hækkun á hreinni eign á árinu</t>
  </si>
  <si>
    <t>Hrein eign frá fyrra ári</t>
  </si>
  <si>
    <t>Hrein eign í árslok</t>
  </si>
  <si>
    <t>Efnahagsreikningur</t>
  </si>
  <si>
    <t>Eignir</t>
  </si>
  <si>
    <t>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</si>
  <si>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</si>
  <si>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</si>
  <si>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</si>
  <si>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</si>
  <si>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</si>
  <si>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</si>
  <si>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</si>
  <si>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</si>
  <si>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</si>
  <si>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</si>
  <si>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</si>
  <si>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</si>
  <si>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</si>
  <si>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</si>
  <si>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</si>
  <si>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</si>
  <si>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</si>
  <si>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</si>
  <si>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</si>
  <si>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</si>
  <si>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</si>
  <si>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</si>
  <si>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</si>
  <si>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</si>
  <si>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</si>
  <si>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t>Fyrirfr.gr.kostn.og áfallnar tekjur</t>
  </si>
  <si>
    <t>Eignir samtals</t>
  </si>
  <si>
    <t>Skuldir</t>
  </si>
  <si>
    <t>Skuldbindingar</t>
  </si>
  <si>
    <t xml:space="preserve">   Viðskiptaskuldir</t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</si>
  <si>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</si>
  <si>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</si>
  <si>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</si>
  <si>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</si>
  <si>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</si>
  <si>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>Áfallinn kostn. og f.fr.innh.tekjur</t>
  </si>
  <si>
    <t>Skuldir samtals</t>
  </si>
  <si>
    <t>Sjóðstreymi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</si>
  <si>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</si>
  <si>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</si>
  <si>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</si>
  <si>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</si>
  <si>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</si>
  <si>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</si>
  <si>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</si>
  <si>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</si>
  <si>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</si>
  <si>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</si>
  <si>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</si>
  <si>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</si>
  <si>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</si>
  <si>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</si>
  <si>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</si>
  <si>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</si>
  <si>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</si>
  <si>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</si>
  <si>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</si>
  <si>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</si>
  <si>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</si>
  <si>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</si>
  <si>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</si>
  <si>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</si>
  <si>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</si>
  <si>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</si>
  <si>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</si>
  <si>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</si>
  <si>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Hækkun á sjóði og veltiinnlánum</t>
  </si>
  <si>
    <t>Sjóður og veltiinnlán í ársbyrjun</t>
  </si>
  <si>
    <t>Sjóður og veltiinnlán í árslok</t>
  </si>
  <si>
    <t>Afstemming</t>
  </si>
  <si>
    <t>Hrein eign</t>
  </si>
  <si>
    <t>Sjóður</t>
  </si>
  <si>
    <t>Eftirlaunasj. FÍA</t>
  </si>
  <si>
    <t>Eftirlaunasj. stm. Hafnarfjarðark.</t>
  </si>
  <si>
    <t>Eftirlaunasj. stm. 
Útvegsb. Ísl.</t>
  </si>
  <si>
    <t>Lífeyrissjóður Akranes-kaupstaðar</t>
  </si>
  <si>
    <t>Lífeyrissjóður hjúkrunar-fræðinga</t>
  </si>
  <si>
    <t>Lífeyrissjóður stm. Akureyrarb.</t>
  </si>
  <si>
    <t>Lífeyrissjóður stm. Húsavíkurk.</t>
  </si>
  <si>
    <t>Lífeyrissjóður stm. Búnaðarb. Ísl.</t>
  </si>
  <si>
    <t>Lífeyrissjóður stm. Kópavogsb.</t>
  </si>
  <si>
    <t>Lífeyrissjóður stm. Reykjavíkurb.</t>
  </si>
  <si>
    <t xml:space="preserve">Lífeyrissjóður stm. ríkisins </t>
  </si>
  <si>
    <t>Lífeyrissjóður stm. Vestm.eyjab.</t>
  </si>
  <si>
    <t>Lífeyrissjóður Tannlæknafél. Íslands</t>
  </si>
  <si>
    <t>Lífeyrissjóður verslunar-manna</t>
  </si>
  <si>
    <t>Aldurstengd</t>
  </si>
  <si>
    <t>Hrein raunávöxtun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</si>
  <si>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</si>
  <si>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</si>
  <si>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</si>
  <si>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</si>
  <si>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</si>
  <si>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</si>
  <si>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</si>
  <si>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</si>
  <si>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</si>
  <si>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</si>
  <si>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 xml:space="preserve">Fjöldi sjóðfélaga                                    </t>
  </si>
  <si>
    <t xml:space="preserve">Fjöldi lífeyrisþega                                 </t>
  </si>
  <si>
    <t>Ellilífeyrir  (%)</t>
  </si>
  <si>
    <t>Örorkulífeyrir  (%)</t>
  </si>
  <si>
    <t>Makalífeyrir  (%)</t>
  </si>
  <si>
    <t>Barnalífeyrir  (%)</t>
  </si>
  <si>
    <t xml:space="preserve">Annar lífeyrir (%)                                  </t>
  </si>
  <si>
    <t xml:space="preserve">         Samtals: </t>
  </si>
  <si>
    <t>Meðalfjöldi starfsmanna</t>
  </si>
  <si>
    <t>Hrein eign umfram heildarskuldb. (%)</t>
  </si>
  <si>
    <t>Hrein eign umfram áfallnar skuldb. (%)</t>
  </si>
  <si>
    <t>Ýmsar athugasemdir:</t>
  </si>
  <si>
    <t>Skýringar á kennitölum:</t>
  </si>
  <si>
    <t>Reikna daglegt</t>
  </si>
  <si>
    <t>gengi</t>
  </si>
  <si>
    <t xml:space="preserve">      sjá skýringu í inngangi að kafla 4.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</si>
  <si>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</si>
  <si>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</si>
  <si>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</si>
  <si>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7.  Með öðrum lífeyri er átt við lífeyri sem erfist.</t>
  </si>
  <si>
    <t xml:space="preserve"> 9.  Lífeyrir sem hlutfall af iðgjöldum</t>
  </si>
  <si>
    <t xml:space="preserve">      ((Eignir  +  núvirði framtíðariðgj.)  - heildarskuldbinding) / heildarskuldbinding.</t>
  </si>
  <si>
    <t xml:space="preserve">      (Eignir - áfallin skuldbinding) / áfallin skuldbinding.</t>
  </si>
  <si>
    <t>Útreikningur á kennitölum:</t>
  </si>
  <si>
    <t>Fjárfestingatekjur nettó (F)</t>
  </si>
  <si>
    <t>Rekstrarkostnaður  nettó (K)</t>
  </si>
  <si>
    <t>Meðalstaða eigna við útreikn.</t>
  </si>
  <si>
    <t xml:space="preserve"> á ávöxtun (A+B-(F-K))</t>
  </si>
  <si>
    <t>i</t>
  </si>
  <si>
    <t>Hrein raunávöxtun (r)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</si>
  <si>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</si>
  <si>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</si>
  <si>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</si>
  <si>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</si>
  <si>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</si>
  <si>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</si>
  <si>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</si>
  <si>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Skipting annarra fjárf.</t>
  </si>
  <si>
    <t>Skipting eftir gjaldm.</t>
  </si>
  <si>
    <t>Eftirlaunasj. stm. Glitnis banka hf.</t>
  </si>
  <si>
    <t>Frjálsi 
lífeyris-sjóðurinn</t>
  </si>
  <si>
    <t>Íslenski
lífeyris-sjóðurinn</t>
  </si>
  <si>
    <t>Lífeyrissj.  Eimskipafél. Ísl.</t>
  </si>
  <si>
    <t>Lífeyrissjóður Nes-kaupstaðar</t>
  </si>
  <si>
    <t>Lífeyrissjóður stm. 
Búnaðarb. Ísl.</t>
  </si>
  <si>
    <t>Lífeyrissjóður stm. sveitarfél.</t>
  </si>
  <si>
    <t>Lífeyrissj. stm. sveitarfél.</t>
  </si>
  <si>
    <t>Lífeyrissjóður Vestmanna-eyja</t>
  </si>
  <si>
    <t>Lífeyrisbyrði (%)</t>
  </si>
  <si>
    <t>-</t>
  </si>
  <si>
    <t>Reikna daglegt gengi</t>
  </si>
  <si>
    <t>Hein eign í árslok (B)</t>
  </si>
  <si>
    <t>Hrein eign í ársbyrjun (A)</t>
  </si>
  <si>
    <t>*</t>
  </si>
  <si>
    <t>Skráð verðbréf með br. tekjum í þús.kr</t>
  </si>
  <si>
    <t>Skráð verðbréf með föst. tekjum í þús.kr</t>
  </si>
  <si>
    <t>Óskráð verðbréf með br. tekjum í þús.kr</t>
  </si>
  <si>
    <t>Óskráð verðbréf með föst. tekjum í þús.kr</t>
  </si>
  <si>
    <t>Veðlán í þús.kr</t>
  </si>
  <si>
    <t>Annað í þús.kr</t>
  </si>
  <si>
    <t>Aðrar fjárfestingar</t>
  </si>
  <si>
    <t>Eignir í ísl. kr. í þús.kr</t>
  </si>
  <si>
    <t>Eignir í erl. gjaldmiðlum í þús.kr</t>
  </si>
  <si>
    <t>Frjálsi lífeyrissjóðurinn</t>
  </si>
  <si>
    <t xml:space="preserve">Lífeyrissjóður starfsmanna ríkisins </t>
  </si>
  <si>
    <t>Lífeyrissjóður starfsmanna sveitarfélaga</t>
  </si>
  <si>
    <t>Lífeyrissjóður Vestmannaeyja</t>
  </si>
  <si>
    <t>ALLAR DEILDIR SAMTALS</t>
  </si>
  <si>
    <t>Ævisafn I</t>
  </si>
  <si>
    <t>Ævisafn II</t>
  </si>
  <si>
    <t>Ævisafn III</t>
  </si>
  <si>
    <t>Ævisafn IV</t>
  </si>
  <si>
    <t>Deild/leið I</t>
  </si>
  <si>
    <t>Deild/leið II</t>
  </si>
  <si>
    <t>Deild/leið III</t>
  </si>
  <si>
    <t>Framsýn 1</t>
  </si>
  <si>
    <t>Framsýn 2</t>
  </si>
  <si>
    <t>Framsýn 3</t>
  </si>
  <si>
    <t>Líf 1</t>
  </si>
  <si>
    <t>Líf 2</t>
  </si>
  <si>
    <t>Líf 3</t>
  </si>
  <si>
    <t>Líf 4</t>
  </si>
  <si>
    <t>Safn I</t>
  </si>
  <si>
    <t>Safn II</t>
  </si>
  <si>
    <t>Leið I</t>
  </si>
  <si>
    <t>Leið II</t>
  </si>
  <si>
    <t>Leið III</t>
  </si>
  <si>
    <t>Deild I/Séreign</t>
  </si>
  <si>
    <t>Aldursleið 1</t>
  </si>
  <si>
    <t>Aldursleið 2</t>
  </si>
  <si>
    <t>Aldursleið 3</t>
  </si>
  <si>
    <t>Aldursleið 4</t>
  </si>
  <si>
    <t>Leið 1</t>
  </si>
  <si>
    <t>Leið 2</t>
  </si>
  <si>
    <t>Leið IV</t>
  </si>
  <si>
    <t>Leið V</t>
  </si>
  <si>
    <t xml:space="preserve">Yfirlit um breytingu á hreinni </t>
  </si>
  <si>
    <t>Hrein eign til greiðslu lífeyris</t>
  </si>
  <si>
    <t xml:space="preserve">   Óefnislegar eignir</t>
  </si>
  <si>
    <t xml:space="preserve">          Samtals:                                      </t>
  </si>
  <si>
    <t>* Vegið meðaltal ávöxtunar sameinaðra sjóða</t>
  </si>
  <si>
    <t xml:space="preserve">*Stofnuð í </t>
  </si>
  <si>
    <t>árslok 2004</t>
  </si>
  <si>
    <t>daglegt gengi</t>
  </si>
  <si>
    <t>Reikna</t>
  </si>
  <si>
    <t xml:space="preserve">Lífeyrisbyrði (%)                               </t>
  </si>
  <si>
    <t>Kenni</t>
  </si>
  <si>
    <t>Almenni_Ser1</t>
  </si>
  <si>
    <t>Almenni_Ser2</t>
  </si>
  <si>
    <t>Almenni_Ser3</t>
  </si>
  <si>
    <t>Almenni_Ser4</t>
  </si>
  <si>
    <t>Festa_Ser1</t>
  </si>
  <si>
    <t>Frjalsi_Ser1</t>
  </si>
  <si>
    <t>Frjalsi_Ser2</t>
  </si>
  <si>
    <t>Frjalsi_Ser3</t>
  </si>
  <si>
    <t>Gildi_Ser1</t>
  </si>
  <si>
    <t>Gildi_Ser2</t>
  </si>
  <si>
    <t>Gildi_Ser3</t>
  </si>
  <si>
    <t>IL_Ser1</t>
  </si>
  <si>
    <t>IL_Ser2</t>
  </si>
  <si>
    <t>IL_Ser3</t>
  </si>
  <si>
    <t>IL_Ser4</t>
  </si>
  <si>
    <t>LSR_Ser1</t>
  </si>
  <si>
    <t>LSR_Ser2</t>
  </si>
  <si>
    <t>LSR_Ser3</t>
  </si>
  <si>
    <t>LSS_Ser1</t>
  </si>
  <si>
    <t>LSS_Ser3</t>
  </si>
  <si>
    <t>LTann_Ser1</t>
  </si>
  <si>
    <t>LVerk_Ser1</t>
  </si>
  <si>
    <t>LVerk_Ser2</t>
  </si>
  <si>
    <t>LVersl_Ser1</t>
  </si>
  <si>
    <t>LVestf_Ser1</t>
  </si>
  <si>
    <t>LVestm_Ser1</t>
  </si>
  <si>
    <t>LVestm_Ser2</t>
  </si>
  <si>
    <t>SamLif_Ser3</t>
  </si>
  <si>
    <t>SamLif_Ser4</t>
  </si>
  <si>
    <t>SamLif_Ser5</t>
  </si>
  <si>
    <t>SamLif_Ser6</t>
  </si>
  <si>
    <t>SamLif_Ser1</t>
  </si>
  <si>
    <t>SamLif_Ser2</t>
  </si>
  <si>
    <t>SL_Ser1</t>
  </si>
  <si>
    <t>Stafir_Ser1</t>
  </si>
  <si>
    <t>Stafir_Ser2</t>
  </si>
  <si>
    <t>Stafir_Ser3</t>
  </si>
  <si>
    <t>Stafir_Ser4</t>
  </si>
  <si>
    <t>Stafir_Ser5</t>
  </si>
  <si>
    <t>Almenni_Sam4</t>
  </si>
  <si>
    <t>Almenni_Sam3</t>
  </si>
  <si>
    <t>Almenni_Sam2</t>
  </si>
  <si>
    <t>EFIA_Sam1</t>
  </si>
  <si>
    <t>ER_Sam1</t>
  </si>
  <si>
    <t>ESS_Sam1</t>
  </si>
  <si>
    <t>ESÍ_Sam1</t>
  </si>
  <si>
    <t>ESH_Sam1</t>
  </si>
  <si>
    <t>ESUI_Sam1</t>
  </si>
  <si>
    <t>Festa_Sam1</t>
  </si>
  <si>
    <t>Frjalsi_Sam1</t>
  </si>
  <si>
    <t>Gildi_Sam1</t>
  </si>
  <si>
    <t>IL_Sam1</t>
  </si>
  <si>
    <t>LAkr_Sam1</t>
  </si>
  <si>
    <t>LBaenda_Sam2</t>
  </si>
  <si>
    <t>LBank_Sam1</t>
  </si>
  <si>
    <t>LBank_Sam2</t>
  </si>
  <si>
    <t>LH_Sam1</t>
  </si>
  <si>
    <t>LNes_Sam1</t>
  </si>
  <si>
    <t>LRang_Sam1</t>
  </si>
  <si>
    <t>LSAk_Sam1</t>
  </si>
  <si>
    <t>LSBI_Sam1</t>
  </si>
  <si>
    <t>LSK_Sam1</t>
  </si>
  <si>
    <t>LSRb_Sam1</t>
  </si>
  <si>
    <t>LSR_Sam2</t>
  </si>
  <si>
    <t>LSR_Sam1</t>
  </si>
  <si>
    <t>LSS_Sam1</t>
  </si>
  <si>
    <t>LSS_Sam2</t>
  </si>
  <si>
    <t>LSVestm_Sam1</t>
  </si>
  <si>
    <t>LTann_Sam1</t>
  </si>
  <si>
    <t>LVerk_Sam1</t>
  </si>
  <si>
    <t>LVersl_Sam2</t>
  </si>
  <si>
    <t>LVestf_Sam3</t>
  </si>
  <si>
    <t>LVestm_Sam2</t>
  </si>
  <si>
    <t>LSkjoldur_Sam1</t>
  </si>
  <si>
    <t>SamLif_Sam2</t>
  </si>
  <si>
    <t>SamLif_Sam1</t>
  </si>
  <si>
    <t>SL_Sam2</t>
  </si>
  <si>
    <t>Stafir_Sam1</t>
  </si>
  <si>
    <t>Sameinaði lífeyris-sjóðurinn</t>
  </si>
  <si>
    <t>Almenni lífeyris-sjóðurinn</t>
  </si>
  <si>
    <t>Íslenski lífeyris-sjóðurinn</t>
  </si>
  <si>
    <t xml:space="preserve">ALLIR   </t>
  </si>
  <si>
    <t xml:space="preserve">     Iðgjöld    </t>
  </si>
  <si>
    <t xml:space="preserve">     Lífeyrir    </t>
  </si>
  <si>
    <t xml:space="preserve">     Fjárfestingartekjur    </t>
  </si>
  <si>
    <t xml:space="preserve">             Fjárfestingargjöld    </t>
  </si>
  <si>
    <t xml:space="preserve">     Rekstrarkostnaður    </t>
  </si>
  <si>
    <t>HREIN EIGN Í ÁRSLOK</t>
  </si>
  <si>
    <t>TIL GREIÐSLU LÍFEYRIS</t>
  </si>
  <si>
    <t>Eftirlaunasj. stm. 
Glitnis banka</t>
  </si>
  <si>
    <t>Eftirlaunasj. stm. 
Útvegsb.  Ísl.</t>
  </si>
  <si>
    <t>Lífeyrissjóður Eimskipafél. Íslands</t>
  </si>
  <si>
    <t xml:space="preserve">Lífeyrissjóður stm. Búnaðarb. Ísl. </t>
  </si>
  <si>
    <t>Lífeyrissjóður stm. 
ríkisins</t>
  </si>
  <si>
    <t>Lífeyrissjóður verk-
fræðinga</t>
  </si>
  <si>
    <t>Allir lífeyrissjóðir samtals</t>
  </si>
  <si>
    <t>Samtryggingardeildir</t>
  </si>
  <si>
    <t xml:space="preserve">Séreign </t>
  </si>
  <si>
    <t xml:space="preserve">Hrein eign </t>
  </si>
  <si>
    <t xml:space="preserve">Stigakerfi </t>
  </si>
  <si>
    <t>Hlutfalls-</t>
  </si>
  <si>
    <t>Aldursháð-</t>
  </si>
  <si>
    <t>Blandað-</t>
  </si>
  <si>
    <t xml:space="preserve"> 31.12.2006</t>
  </si>
  <si>
    <t xml:space="preserve">kerfi </t>
  </si>
  <si>
    <t>kerfi</t>
  </si>
  <si>
    <t>Lífeyrissjóður starfsmanna ríkisins</t>
  </si>
  <si>
    <t>Lífeyrissjóður verslunarmanna</t>
  </si>
  <si>
    <t>Lífeyrissjóður hjúkrunarfræðinga</t>
  </si>
  <si>
    <t>Lífeyrissjóður Akraneskaupstaðar</t>
  </si>
  <si>
    <t>Lífeyrissjóðurinn Skjöldur</t>
  </si>
  <si>
    <t>Lífeyrissjóður Neskaupstaðar</t>
  </si>
  <si>
    <t xml:space="preserve">Samtals:   </t>
  </si>
  <si>
    <t>Stigakerfi:  Iðgjöld eru umreiknuð í stig, óháð aldri sjóðfélagans.</t>
  </si>
  <si>
    <t>Hlutfallskerfi:  Lífeyrir er hlutfall af launum.</t>
  </si>
  <si>
    <t>Aldursháð kerfi: Iðgjöld gefa mismunandi stig eftir aldri sjóðfélagans.</t>
  </si>
  <si>
    <t xml:space="preserve">Blandað kerfi:  Blönduð ávinnsla aldurstengdra og jafnra réttinda. </t>
  </si>
  <si>
    <t>Eftirlaunasj. stm. Glitnis banka</t>
  </si>
  <si>
    <t>Söfnunarsj. lífeyrisréttinda</t>
  </si>
  <si>
    <t>Lífeyrissjóður stm. ríkisins</t>
  </si>
  <si>
    <t>Eftirlaunasj. Reykjanesbæjar</t>
  </si>
  <si>
    <t>Kerfi</t>
  </si>
  <si>
    <t>Aldursháð</t>
  </si>
  <si>
    <t>Stiga</t>
  </si>
  <si>
    <t>Hlutfalls</t>
  </si>
  <si>
    <t>Blandað</t>
  </si>
  <si>
    <t>Aukning</t>
  </si>
  <si>
    <t>þús.kr.</t>
  </si>
  <si>
    <t>%</t>
  </si>
  <si>
    <t/>
  </si>
  <si>
    <t>3)</t>
  </si>
  <si>
    <t>1)</t>
  </si>
  <si>
    <t>1)  2)</t>
  </si>
  <si>
    <t>2)</t>
  </si>
  <si>
    <t>Samtals:</t>
  </si>
  <si>
    <t>Skýringar:</t>
  </si>
  <si>
    <t xml:space="preserve">1) Ábyrgð annarra á skuldbindingum.  2) Tekur ekki við iðgjöldum. </t>
  </si>
  <si>
    <t xml:space="preserve">Fjöldi </t>
  </si>
  <si>
    <t xml:space="preserve">Númer í </t>
  </si>
  <si>
    <t>Nafn</t>
  </si>
  <si>
    <t>deilda</t>
  </si>
  <si>
    <t>stærðarröð</t>
  </si>
  <si>
    <t>Lífeyrissjóður stm. sveitarfélaga</t>
  </si>
  <si>
    <t>Lífeyrissjóður  stm. sveitarfélaga</t>
  </si>
  <si>
    <t xml:space="preserve">EIGNIR </t>
  </si>
  <si>
    <t xml:space="preserve">EIGNIR SAMTALS      </t>
  </si>
  <si>
    <t>SKULDIR</t>
  </si>
  <si>
    <t xml:space="preserve">   Áfallinn kostn. og f.fr.innh.tekjur</t>
  </si>
  <si>
    <t xml:space="preserve">HREIN EIGN TIL </t>
  </si>
  <si>
    <t>GREIÐSLU LÍFEYRIS</t>
  </si>
  <si>
    <t>Eftirlaunasj. Sláturfélags  Suðurlands</t>
  </si>
  <si>
    <t>Lífeyrissjóður Eimskipaf. Íslands</t>
  </si>
  <si>
    <t>Lífeyrissjóður stm. Búnaðarb.Ísl.</t>
  </si>
  <si>
    <t>Lífeyrissjóður Tannlæknaf.  Íslands</t>
  </si>
  <si>
    <t>Afstemmt</t>
  </si>
  <si>
    <t>Lífeyrissjóður Eimskipaf.  Íslands</t>
  </si>
  <si>
    <t>Markaðsskuldabréf</t>
  </si>
  <si>
    <t>Ríkisvíxlar og -skuldabréf</t>
  </si>
  <si>
    <t>Skuldabréf sveitarfélaga</t>
  </si>
  <si>
    <t>Skuldabréf og víxlar lánastofnana</t>
  </si>
  <si>
    <t>Hlutdeildarskírteini og hlutir</t>
  </si>
  <si>
    <t>Önnur verðbréf</t>
  </si>
  <si>
    <t>Samtals</t>
  </si>
  <si>
    <t>Önnur skuldabréf</t>
  </si>
  <si>
    <t>Fasteignaveðtryggð skuldabréf</t>
  </si>
  <si>
    <t>Hlutabréf</t>
  </si>
  <si>
    <t>Hlutabréf, skráð</t>
  </si>
  <si>
    <t>Hlutabréf, óskráð</t>
  </si>
  <si>
    <t>Annað</t>
  </si>
  <si>
    <t>Innlán í bönkum og sparisjóðum</t>
  </si>
  <si>
    <t>Fjárfestingar samtals</t>
  </si>
  <si>
    <t>Eftirlaunasj.  FÍA</t>
  </si>
  <si>
    <t xml:space="preserve">Eftirlaunasj. stm. 
Glitnis banka </t>
  </si>
  <si>
    <t>Lífeyrissj. Tannlæknafél. Ísl.</t>
  </si>
  <si>
    <t>Lífeyrissj.  verslunarmanna</t>
  </si>
  <si>
    <t>Óskráð verðbréf</t>
  </si>
  <si>
    <t>Gengisbundnar fjárfestingar</t>
  </si>
  <si>
    <t>Eign</t>
  </si>
  <si>
    <t>Aðrir lífeyrissjóðir</t>
  </si>
  <si>
    <t xml:space="preserve">    Séreign til viðbótartryggingarverndar*</t>
  </si>
  <si>
    <t>31.12.2005</t>
  </si>
  <si>
    <t>31.12.2004</t>
  </si>
  <si>
    <t>31.12.2003</t>
  </si>
  <si>
    <t>31.12.2002</t>
  </si>
  <si>
    <t>Bankar og verðbréfafyrirtæki</t>
  </si>
  <si>
    <t>Sparisjóðir</t>
  </si>
  <si>
    <t>Líftryggingafélög</t>
  </si>
  <si>
    <t>Heildarfjöldi rétthafa í lok árs</t>
  </si>
  <si>
    <t>Fjöldi þeirra sem greiddi iðgjöld að meðaltali á árinu</t>
  </si>
  <si>
    <t>Fjöldi þeirra sem fékk að meðaltali greiddan lífeyri á árinu</t>
  </si>
  <si>
    <t>31.12.2006</t>
  </si>
  <si>
    <t>(1)</t>
  </si>
  <si>
    <t>(5)</t>
  </si>
  <si>
    <t>(20)</t>
  </si>
  <si>
    <t>(33)</t>
  </si>
  <si>
    <t>(35)</t>
  </si>
  <si>
    <t>(23)</t>
  </si>
  <si>
    <t>(30)</t>
  </si>
  <si>
    <t>(34)</t>
  </si>
  <si>
    <t>(10)</t>
  </si>
  <si>
    <t>(7)</t>
  </si>
  <si>
    <t>(3)</t>
  </si>
  <si>
    <t>(16)</t>
  </si>
  <si>
    <t>(32)</t>
  </si>
  <si>
    <t>(12)</t>
  </si>
  <si>
    <t>(19)</t>
  </si>
  <si>
    <t>(11)</t>
  </si>
  <si>
    <t>(25)</t>
  </si>
  <si>
    <t>(26)</t>
  </si>
  <si>
    <t>(17)</t>
  </si>
  <si>
    <t>(31)</t>
  </si>
  <si>
    <t>(8)</t>
  </si>
  <si>
    <t>(24)</t>
  </si>
  <si>
    <t>(36)</t>
  </si>
  <si>
    <t>(29)</t>
  </si>
  <si>
    <t>(22)</t>
  </si>
  <si>
    <t>(28)</t>
  </si>
  <si>
    <t>(21)</t>
  </si>
  <si>
    <t>(15)</t>
  </si>
  <si>
    <t>(27)</t>
  </si>
  <si>
    <t>(13)</t>
  </si>
  <si>
    <t>(2)</t>
  </si>
  <si>
    <t>(14)</t>
  </si>
  <si>
    <t>(18)</t>
  </si>
  <si>
    <t>(37)</t>
  </si>
  <si>
    <t>(4)</t>
  </si>
  <si>
    <t>(9)</t>
  </si>
  <si>
    <t>(6)</t>
  </si>
  <si>
    <t>* Aldursleið 1 og 2 stofnaðar</t>
  </si>
  <si>
    <t>árið 2004</t>
  </si>
  <si>
    <t>**</t>
  </si>
  <si>
    <t>Lífeyrissj. Vestmannaeyja</t>
  </si>
  <si>
    <t>Samtrygging</t>
  </si>
  <si>
    <t>Séreign</t>
  </si>
  <si>
    <t>Tryggingad.</t>
  </si>
  <si>
    <t>Eftirlaunad.</t>
  </si>
  <si>
    <t>Tryggingard.</t>
  </si>
  <si>
    <t>Hlutfallsd.</t>
  </si>
  <si>
    <t xml:space="preserve">    þ.a. gjöld</t>
  </si>
  <si>
    <t xml:space="preserve">Hrein raunávöxtun (%) </t>
  </si>
  <si>
    <t>Hlutdeildarskírteini og hlutir verðbréfa- og fjárfestingasjóða 
(l. nr. 30/2003)</t>
  </si>
  <si>
    <t>Séreign til lágmarkstryggingarverndar (bundin séreign)</t>
  </si>
  <si>
    <t>Hrein raunávöxtun (%)</t>
  </si>
  <si>
    <t>Eftirfarandi yfirlit sýnir starfandi lífeyrissjóði í árslok 2007 í stafrófsröð.</t>
  </si>
  <si>
    <t>Eftirlaunasjóður FÍA</t>
  </si>
  <si>
    <t>Eftirlaunasjóður Reykjanesbæjar</t>
  </si>
  <si>
    <t>Eftirlaunasjóður Sláturfélags Suðurlands</t>
  </si>
  <si>
    <t>Eftirlaunasjóður starfsmanna Glitnis banka</t>
  </si>
  <si>
    <t>Eftirlaunasjóður starfsmanna Hafnarfjarðarkaupstaðar</t>
  </si>
  <si>
    <t>Kjölur lífeyrissjóður</t>
  </si>
  <si>
    <t>Lífeyrissjóður starfsmanna Akureyrarbæjar</t>
  </si>
  <si>
    <t>Lífeyrissjóður starfsmanna Búnaðarbanka Íslands hf.</t>
  </si>
  <si>
    <t>Lífeyrissjóður starfsmanna Húsavíkurkaupstaðar</t>
  </si>
  <si>
    <t>Lífeyrissjóður starfsmanna Kópavogsbæjar</t>
  </si>
  <si>
    <t>Lífeyrissjóður starfsmanna Reykjavíkurborgar</t>
  </si>
  <si>
    <t>Lífeyrissjóður starfsmanna Vestmannaeyjabæjar</t>
  </si>
  <si>
    <t>Lífeyrissjóður Tannlæknafélags Íslands</t>
  </si>
  <si>
    <t>Stapi lífeyrissjóður</t>
  </si>
  <si>
    <t>Söfnunarsjóður lífeyrisréttinda</t>
  </si>
  <si>
    <t xml:space="preserve"> 31.12.2007</t>
  </si>
  <si>
    <t>árið 2007</t>
  </si>
  <si>
    <t xml:space="preserve">3) Lífeyrissjóðir sem sameinast viðkomandi sjóði árið 2007 eru meðtaldir í árslok.  </t>
  </si>
  <si>
    <t>Lífeyrissjóður stm. Búnaðarbanka Íslands hf.</t>
  </si>
  <si>
    <t>Eftirlaunasjóður stm. Hafnarfjarðarkaupstaðar</t>
  </si>
  <si>
    <t>Lífeyrissjóður stm. Vestmannaeyjabæjar</t>
  </si>
  <si>
    <t>Lífeyrissjóður stm. Húsavíkurkaupstaðar</t>
  </si>
  <si>
    <t>Eftirlaunasj.stm.  Útvegsb. Ísl.</t>
  </si>
  <si>
    <t>Lífeyrissj. stm. Vestmannaeyjab.</t>
  </si>
  <si>
    <t>Lífeyrissj. Eimskipafél. Ísl. hf.</t>
  </si>
  <si>
    <t>Lífeyrissj. stm. Húsavíkurk.</t>
  </si>
  <si>
    <t>Eftirlaunasj. Sláturfél. Suðurl.</t>
  </si>
  <si>
    <t>Lífeyrissjóður Akranesk.</t>
  </si>
  <si>
    <t>Lífeyrissj. stm. Búnaðarb. Ísl. hf.</t>
  </si>
  <si>
    <t>Lífeyrissjóður hjúkrunarfr.</t>
  </si>
  <si>
    <t>Lífeyrissj. stm. Reykjavíkurb.</t>
  </si>
  <si>
    <t>4) Stjórnir sjóðanna ákvarða iðgjald launagreiðanda árlega þannig að það dugi til greiðslu á skuldbindingum A-deilda.</t>
  </si>
  <si>
    <t>1)  4)</t>
  </si>
  <si>
    <t>4)</t>
  </si>
  <si>
    <t>2)  3)</t>
  </si>
  <si>
    <r>
      <t xml:space="preserve">   </t>
    </r>
    <r>
      <rPr>
        <b/>
        <sz val="8"/>
        <rFont val="Times New Roman"/>
        <family val="1"/>
      </rPr>
      <t>Fyrirfr.gr.kostn.og áfallnar tekjur</t>
    </r>
  </si>
  <si>
    <r>
      <t xml:space="preserve">  </t>
    </r>
    <r>
      <rPr>
        <b/>
        <sz val="8"/>
        <rFont val="Times New Roman"/>
        <family val="1"/>
      </rPr>
      <t>Skuldbindingar</t>
    </r>
  </si>
  <si>
    <r>
      <t xml:space="preserve">   </t>
    </r>
    <r>
      <rPr>
        <b/>
        <sz val="8"/>
        <rFont val="Times New Roman"/>
        <family val="1"/>
      </rPr>
      <t>Viðskiptaskuldir</t>
    </r>
  </si>
  <si>
    <r>
      <t xml:space="preserve">SKULDIR SAMTALS    </t>
    </r>
    <r>
      <rPr>
        <i/>
        <sz val="8"/>
        <rFont val="Times New Roman"/>
        <family val="1"/>
      </rPr>
      <t xml:space="preserve">    </t>
    </r>
  </si>
  <si>
    <t>Lífeyrissjóður Eimskipafél. Íslands hf.</t>
  </si>
  <si>
    <t>Stapi_Sam1</t>
  </si>
  <si>
    <t>LMS_Sam1</t>
  </si>
  <si>
    <t>LSH_Sam1</t>
  </si>
  <si>
    <t>LEimskip_Sam2</t>
  </si>
  <si>
    <t>Lífeyrissjóður Eimskipafélags Íslands</t>
  </si>
  <si>
    <t xml:space="preserve"> 1.  Hrein raunávöxtun miðað við vísitölu neysluverðs (5,86% hækkun á árinu 2007)</t>
  </si>
  <si>
    <t xml:space="preserve"> 5.  Meðaltal fjölda sjóðfélaga sem greiddi iðgjald á árinu 2007.</t>
  </si>
  <si>
    <t xml:space="preserve"> 6.  Meðaltal fjölda lífeyrisþega sem fékk greiddan lífeyri á árinu 2007.</t>
  </si>
  <si>
    <t xml:space="preserve"> 8.  Meðalfjöldi starfsmanna á árinu 2007.</t>
  </si>
  <si>
    <t xml:space="preserve"> 10.  Fjárhagsleg staða sjóðsins skv. tryggingafræðilegri úttekt m.v. 31.12.2007. </t>
  </si>
  <si>
    <t>11. Fjárhagsleg staða sjóðsins skv. tryggingafræðilegri úttekt m.v. 31.12.2007.</t>
  </si>
  <si>
    <t xml:space="preserve">11. Fjárhagsleg staða sjóðsins skv. tryggingafræðilegri úttekt m.v. 31.12.2007. </t>
  </si>
  <si>
    <t>*7,6</t>
  </si>
  <si>
    <t>*7,3</t>
  </si>
  <si>
    <t>árið 2005</t>
  </si>
  <si>
    <t>* Aldursleið 3 og 4 stofnaðar</t>
  </si>
  <si>
    <t>*5,7</t>
  </si>
  <si>
    <t>*5,4</t>
  </si>
  <si>
    <t>Meðalávöxtun 2003-2007 (%)</t>
  </si>
  <si>
    <t>Stapi_Ser1</t>
  </si>
  <si>
    <t>Staði_Ser2</t>
  </si>
  <si>
    <t xml:space="preserve">Hækkun vísit. neysluv. 2007 (VNV)          </t>
  </si>
  <si>
    <t>áranna 2003 - 2004</t>
  </si>
  <si>
    <t>*8,4</t>
  </si>
  <si>
    <t>*5,3</t>
  </si>
  <si>
    <t>*5,9</t>
  </si>
  <si>
    <t>31.12.2007</t>
  </si>
  <si>
    <r>
      <t>.</t>
    </r>
    <r>
      <rPr>
        <b/>
        <vertAlign val="superscript"/>
        <sz val="8"/>
        <rFont val="Times New Roman"/>
        <family val="1"/>
      </rPr>
      <t>(2)</t>
    </r>
  </si>
  <si>
    <r>
      <t xml:space="preserve">Lífeyrissjóðir sem störfuðu sem hreinir séreignarsjóðir fyrir gildistöku laga nr. 129/1997 </t>
    </r>
    <r>
      <rPr>
        <b/>
        <vertAlign val="superscript"/>
        <sz val="8"/>
        <rFont val="Times New Roman"/>
        <family val="1"/>
      </rPr>
      <t>(1)</t>
    </r>
  </si>
  <si>
    <r>
      <t xml:space="preserve">Vörsluaðilar aðrir en lífeyrissjóðir </t>
    </r>
    <r>
      <rPr>
        <b/>
        <vertAlign val="superscript"/>
        <sz val="8"/>
        <rFont val="Times New Roman"/>
        <family val="1"/>
      </rPr>
      <t>(2)</t>
    </r>
  </si>
  <si>
    <t xml:space="preserve"> </t>
  </si>
  <si>
    <t>Eftirlaunasj. starfsm.  Útvegsb. Íslands</t>
  </si>
  <si>
    <t xml:space="preserve">     *Þar af  vegna lágmarksiðgjalds (12%) </t>
  </si>
  <si>
    <t>* Megin skýring þessarar miklu hækkunar er greiðsla Reykjavíkurborgar vegna sölu á eignarhlut sínum í Landsvirkjun</t>
  </si>
  <si>
    <t xml:space="preserve">* Meðaltal sameinaðra sjóða frá árunum 2003 - 2005. </t>
  </si>
  <si>
    <t>*6,6</t>
  </si>
  <si>
    <t>*6</t>
  </si>
  <si>
    <t>*5,5</t>
  </si>
  <si>
    <t>*9,1</t>
  </si>
  <si>
    <t>5 ára ekki fyrirliggjandi</t>
  </si>
  <si>
    <t>** Meðaltalsávöxtun sl.</t>
  </si>
  <si>
    <t>Um er að ræða 37 lífeyrissjóði sem starfa í 85 deildum.</t>
  </si>
  <si>
    <t>***</t>
  </si>
  <si>
    <t>*** Megin skýring þessarar miklu hækkunar er uppgjör Sparisjóðs Keflavíkur á áföllnum skuldbindingum að fjárhæð 1.282,8 m.kr.</t>
  </si>
  <si>
    <t>** Megin skýring þessarar miklu hækkunar er greiðsla Akureyrarbæjar vegna sölu á eignarhlut sínum í Landsvirkjun</t>
  </si>
  <si>
    <t>***-37</t>
  </si>
  <si>
    <t>***Iðgjöld greidd í</t>
  </si>
  <si>
    <t>*Eignir deildar-</t>
  </si>
  <si>
    <t>innar ávaxtaðar</t>
  </si>
  <si>
    <t>í séreignard.</t>
  </si>
  <si>
    <t>**Stofnuð 2006</t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</si>
</sst>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General_)"/>
    <numFmt numFmtId="165" formatCode="0.0%"/>
    <numFmt numFmtId="166" formatCode="#,##0;\-#,##0"/>
    <numFmt numFmtId="167" formatCode="#,##0_);\(#,##0\)"/>
    <numFmt numFmtId="168" formatCode="#,##0.0"/>
    <numFmt numFmtId="169" formatCode="#,##0\ ;[Red]\(#,##0\)"/>
    <numFmt numFmtId="170" formatCode="0.0"/>
    <numFmt numFmtId="171" formatCode="#,##0.000"/>
    <numFmt numFmtId="172" formatCode="#,##0.0000"/>
    <numFmt numFmtId="173" formatCode="#,##0.00000"/>
    <numFmt numFmtId="174" formatCode="#,##0.000000"/>
    <numFmt numFmtId="175" formatCode="#,##0,"/>
    <numFmt numFmtId="176" formatCode="0.000"/>
    <numFmt numFmtId="177" formatCode="0.0000"/>
    <numFmt numFmtId="178" formatCode="#,##0\ _k_r_.;[Red]#,##0\ _k_r_."/>
    <numFmt numFmtId="179" formatCode="0.00000"/>
    <numFmt numFmtId="180" formatCode="0.000%"/>
    <numFmt numFmtId="181" formatCode="#,##0\ ;\(#,##0\)"/>
    <numFmt numFmtId="182" formatCode="_-* #,##0\ _k_r_._-;\-* #,##0\ _k_r_._-;_-* &quot;-&quot;??\ _k_r_._-;_-@_-"/>
    <numFmt numFmtId="183" formatCode="#,##0;[Red]\(#,##0\)"/>
    <numFmt numFmtId="184" formatCode="#,##0\ _k_r_.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"/>
    <numFmt numFmtId="191" formatCode="0.00000000"/>
    <numFmt numFmtId="192" formatCode="0.000000"/>
    <numFmt numFmtId="193" formatCode="#,##0_ ;[Red]\-#,##0\ 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;\(#,##0\);\-"/>
    <numFmt numFmtId="199" formatCode="##\-####\-#"/>
    <numFmt numFmtId="200" formatCode="#,##0;\-#,##0;\ "/>
    <numFmt numFmtId="201" formatCode="0#\-####\-#"/>
    <numFmt numFmtId="202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8"/>
      <name val="Times New Roman"/>
      <family val="1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8"/>
      <color indexed="30"/>
      <name val="Courier"/>
      <family val="3"/>
    </font>
    <font>
      <b/>
      <sz val="8"/>
      <color indexed="30"/>
      <name val="Times New Roman"/>
      <family val="1"/>
    </font>
    <font>
      <b/>
      <sz val="9"/>
      <color indexed="30"/>
      <name val="Times New Roman"/>
      <family val="1"/>
    </font>
    <font>
      <sz val="8.5"/>
      <color indexed="3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0"/>
      <color rgb="FF0070C0"/>
      <name val="Times New Roman"/>
      <family val="1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  <font>
      <sz val="8"/>
      <color rgb="FF0070C0"/>
      <name val="Courier"/>
      <family val="3"/>
    </font>
    <font>
      <b/>
      <sz val="8"/>
      <color rgb="FF0070C0"/>
      <name val="Times New Roman"/>
      <family val="1"/>
    </font>
    <font>
      <b/>
      <sz val="9"/>
      <color rgb="FF0070C0"/>
      <name val="Times New Roman"/>
      <family val="1"/>
    </font>
    <font>
      <sz val="8.5"/>
      <color rgb="FF0070C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22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6" fillId="0" borderId="0" xfId="1071" applyFont="1" applyFill="1" applyAlignment="1" applyProtection="1">
      <alignment horizontal="right"/>
      <protection/>
    </xf>
    <xf numFmtId="3" fontId="46" fillId="0" borderId="0" xfId="1075" applyNumberFormat="1" applyFont="1" applyFill="1" applyBorder="1" applyAlignment="1">
      <alignment horizontal="left" vertical="top"/>
      <protection/>
    </xf>
    <xf numFmtId="3" fontId="46" fillId="0" borderId="0" xfId="0" applyNumberFormat="1" applyFont="1" applyFill="1" applyBorder="1" applyAlignment="1" applyProtection="1">
      <alignment horizontal="left" vertical="top"/>
      <protection/>
    </xf>
    <xf numFmtId="0" fontId="46" fillId="0" borderId="0" xfId="1071" applyFont="1" applyFill="1">
      <alignment/>
      <protection/>
    </xf>
    <xf numFmtId="3" fontId="46" fillId="0" borderId="0" xfId="1071" applyNumberFormat="1" applyFont="1" applyFill="1">
      <alignment/>
      <protection/>
    </xf>
    <xf numFmtId="3" fontId="46" fillId="0" borderId="0" xfId="0" applyNumberFormat="1" applyFont="1" applyAlignment="1">
      <alignment/>
    </xf>
    <xf numFmtId="3" fontId="46" fillId="0" borderId="0" xfId="0" applyNumberFormat="1" applyFont="1" applyFill="1" applyAlignment="1" applyProtection="1">
      <alignment/>
      <protection/>
    </xf>
    <xf numFmtId="165" fontId="46" fillId="0" borderId="0" xfId="1094" applyNumberFormat="1" applyFont="1" applyFill="1" applyAlignment="1" applyProtection="1">
      <alignment/>
      <protection/>
    </xf>
    <xf numFmtId="0" fontId="46" fillId="0" borderId="0" xfId="1071" applyFont="1" applyFill="1" applyAlignment="1">
      <alignment horizontal="right"/>
      <protection/>
    </xf>
    <xf numFmtId="0" fontId="48" fillId="0" borderId="0" xfId="1071" applyFont="1" applyFill="1" applyAlignment="1">
      <alignment horizontal="right"/>
      <protection/>
    </xf>
    <xf numFmtId="3" fontId="49" fillId="0" borderId="0" xfId="0" applyNumberFormat="1" applyFont="1" applyAlignment="1">
      <alignment/>
    </xf>
    <xf numFmtId="10" fontId="49" fillId="0" borderId="0" xfId="1094" applyNumberFormat="1" applyFont="1" applyAlignment="1">
      <alignment/>
    </xf>
    <xf numFmtId="3" fontId="50" fillId="0" borderId="0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>
      <alignment/>
    </xf>
    <xf numFmtId="3" fontId="50" fillId="0" borderId="0" xfId="0" applyNumberFormat="1" applyFont="1" applyFill="1" applyBorder="1" applyAlignment="1" applyProtection="1">
      <alignment horizontal="left"/>
      <protection/>
    </xf>
    <xf numFmtId="3" fontId="52" fillId="0" borderId="0" xfId="0" applyNumberFormat="1" applyFont="1" applyFill="1" applyBorder="1" applyAlignment="1">
      <alignment/>
    </xf>
    <xf numFmtId="3" fontId="52" fillId="0" borderId="0" xfId="0" applyNumberFormat="1" applyFont="1" applyFill="1" applyBorder="1" applyAlignment="1" applyProtection="1">
      <alignment horizontal="center"/>
      <protection/>
    </xf>
    <xf numFmtId="3" fontId="52" fillId="0" borderId="0" xfId="0" applyNumberFormat="1" applyFont="1" applyFill="1" applyBorder="1" applyAlignment="1" applyProtection="1">
      <alignment horizontal="left"/>
      <protection/>
    </xf>
    <xf numFmtId="3" fontId="50" fillId="0" borderId="0" xfId="0" applyNumberFormat="1" applyFont="1" applyFill="1" applyBorder="1" applyAlignment="1">
      <alignment/>
    </xf>
    <xf numFmtId="3" fontId="50" fillId="0" borderId="0" xfId="0" applyNumberFormat="1" applyFont="1" applyFill="1" applyBorder="1" applyAlignment="1" applyProtection="1">
      <alignment/>
      <protection locked="0"/>
    </xf>
    <xf numFmtId="3" fontId="50" fillId="0" borderId="0" xfId="0" applyNumberFormat="1" applyFont="1" applyBorder="1" applyAlignment="1">
      <alignment/>
    </xf>
    <xf numFmtId="3" fontId="52" fillId="0" borderId="0" xfId="0" applyNumberFormat="1" applyFont="1" applyFill="1" applyBorder="1" applyAlignment="1" applyProtection="1">
      <alignment/>
      <protection/>
    </xf>
    <xf numFmtId="3" fontId="50" fillId="0" borderId="0" xfId="0" applyNumberFormat="1" applyFont="1" applyFill="1" applyBorder="1" applyAlignment="1" applyProtection="1">
      <alignment horizontal="center"/>
      <protection/>
    </xf>
    <xf numFmtId="3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Alignment="1" applyProtection="1">
      <alignment/>
      <protection/>
    </xf>
    <xf numFmtId="0" fontId="50" fillId="0" borderId="0" xfId="0" applyFont="1" applyBorder="1" applyAlignment="1">
      <alignment/>
    </xf>
    <xf numFmtId="3" fontId="52" fillId="0" borderId="0" xfId="0" applyNumberFormat="1" applyFont="1" applyFill="1" applyBorder="1" applyAlignment="1" applyProtection="1">
      <alignment/>
      <protection locked="0"/>
    </xf>
    <xf numFmtId="3" fontId="51" fillId="0" borderId="0" xfId="0" applyNumberFormat="1" applyFont="1" applyFill="1" applyBorder="1" applyAlignment="1">
      <alignment/>
    </xf>
    <xf numFmtId="170" fontId="50" fillId="0" borderId="0" xfId="1094" applyNumberFormat="1" applyFont="1" applyBorder="1" applyAlignment="1">
      <alignment/>
    </xf>
    <xf numFmtId="165" fontId="50" fillId="0" borderId="0" xfId="0" applyNumberFormat="1" applyFont="1" applyBorder="1" applyAlignment="1" applyProtection="1">
      <alignment/>
      <protection locked="0"/>
    </xf>
    <xf numFmtId="3" fontId="50" fillId="0" borderId="0" xfId="0" applyNumberFormat="1" applyFont="1" applyBorder="1" applyAlignment="1" applyProtection="1">
      <alignment/>
      <protection/>
    </xf>
    <xf numFmtId="3" fontId="52" fillId="0" borderId="0" xfId="0" applyNumberFormat="1" applyFont="1" applyBorder="1" applyAlignment="1">
      <alignment/>
    </xf>
    <xf numFmtId="170" fontId="50" fillId="0" borderId="0" xfId="0" applyNumberFormat="1" applyFont="1" applyFill="1" applyBorder="1" applyAlignment="1">
      <alignment/>
    </xf>
    <xf numFmtId="9" fontId="50" fillId="0" borderId="0" xfId="1094" applyFont="1" applyFill="1" applyBorder="1" applyAlignment="1">
      <alignment/>
    </xf>
    <xf numFmtId="3" fontId="50" fillId="0" borderId="0" xfId="0" applyNumberFormat="1" applyFont="1" applyBorder="1" applyAlignment="1" applyProtection="1">
      <alignment/>
      <protection locked="0"/>
    </xf>
    <xf numFmtId="0" fontId="50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168" fontId="50" fillId="0" borderId="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Border="1" applyAlignment="1">
      <alignment horizontal="right"/>
    </xf>
    <xf numFmtId="168" fontId="50" fillId="0" borderId="0" xfId="0" applyNumberFormat="1" applyFont="1" applyFill="1" applyBorder="1" applyAlignment="1" applyProtection="1">
      <alignment/>
      <protection locked="0"/>
    </xf>
    <xf numFmtId="168" fontId="50" fillId="0" borderId="0" xfId="0" applyNumberFormat="1" applyFont="1" applyFill="1" applyBorder="1" applyAlignment="1" applyProtection="1">
      <alignment horizontal="left"/>
      <protection locked="0"/>
    </xf>
    <xf numFmtId="168" fontId="50" fillId="0" borderId="0" xfId="0" applyNumberFormat="1" applyFont="1" applyBorder="1" applyAlignment="1" applyProtection="1">
      <alignment horizontal="left"/>
      <protection locked="0"/>
    </xf>
    <xf numFmtId="3" fontId="50" fillId="0" borderId="0" xfId="0" applyNumberFormat="1" applyFont="1" applyBorder="1" applyAlignment="1" applyProtection="1">
      <alignment horizontal="left"/>
      <protection/>
    </xf>
    <xf numFmtId="168" fontId="50" fillId="0" borderId="0" xfId="0" applyNumberFormat="1" applyFont="1" applyBorder="1" applyAlignment="1" applyProtection="1">
      <alignment/>
      <protection locked="0"/>
    </xf>
    <xf numFmtId="170" fontId="50" fillId="0" borderId="0" xfId="0" applyNumberFormat="1" applyFont="1" applyBorder="1" applyAlignment="1">
      <alignment/>
    </xf>
    <xf numFmtId="2" fontId="50" fillId="0" borderId="0" xfId="0" applyNumberFormat="1" applyFont="1" applyBorder="1" applyAlignment="1">
      <alignment/>
    </xf>
    <xf numFmtId="165" fontId="50" fillId="0" borderId="0" xfId="1094" applyNumberFormat="1" applyFont="1" applyBorder="1" applyAlignment="1">
      <alignment/>
    </xf>
    <xf numFmtId="0" fontId="47" fillId="0" borderId="0" xfId="0" applyFont="1" applyAlignment="1">
      <alignment horizontal="center"/>
    </xf>
    <xf numFmtId="3" fontId="52" fillId="0" borderId="0" xfId="0" applyNumberFormat="1" applyFont="1" applyFill="1" applyBorder="1" applyAlignment="1">
      <alignment horizontal="center" vertical="top" wrapText="1"/>
    </xf>
    <xf numFmtId="3" fontId="50" fillId="0" borderId="0" xfId="1077" applyNumberFormat="1" applyFont="1" applyFill="1" applyBorder="1" applyAlignment="1">
      <alignment horizontal="right" wrapText="1"/>
      <protection/>
    </xf>
    <xf numFmtId="3" fontId="52" fillId="0" borderId="0" xfId="1094" applyNumberFormat="1" applyFont="1" applyFill="1" applyBorder="1" applyAlignment="1">
      <alignment/>
    </xf>
    <xf numFmtId="3" fontId="50" fillId="0" borderId="0" xfId="1070" applyNumberFormat="1" applyFont="1" applyFill="1" applyBorder="1">
      <alignment/>
      <protection/>
    </xf>
    <xf numFmtId="1" fontId="50" fillId="0" borderId="0" xfId="0" applyNumberFormat="1" applyFont="1" applyFill="1" applyBorder="1" applyAlignment="1" applyProtection="1">
      <alignment horizontal="right"/>
      <protection/>
    </xf>
    <xf numFmtId="1" fontId="50" fillId="0" borderId="0" xfId="1094" applyNumberFormat="1" applyFont="1" applyFill="1" applyBorder="1" applyAlignment="1" applyProtection="1">
      <alignment horizontal="right"/>
      <protection/>
    </xf>
    <xf numFmtId="3" fontId="53" fillId="0" borderId="0" xfId="0" applyNumberFormat="1" applyFont="1" applyFill="1" applyAlignment="1" applyProtection="1" quotePrefix="1">
      <alignment horizontal="center"/>
      <protection/>
    </xf>
    <xf numFmtId="0" fontId="50" fillId="0" borderId="0" xfId="1074" applyFont="1" applyFill="1" applyBorder="1" applyAlignment="1">
      <alignment horizontal="right" wrapText="1"/>
      <protection/>
    </xf>
    <xf numFmtId="3" fontId="54" fillId="0" borderId="0" xfId="0" applyNumberFormat="1" applyFont="1" applyFill="1" applyAlignment="1">
      <alignment/>
    </xf>
    <xf numFmtId="2" fontId="50" fillId="0" borderId="0" xfId="0" applyNumberFormat="1" applyFont="1" applyBorder="1" applyAlignment="1" applyProtection="1">
      <alignment/>
      <protection/>
    </xf>
    <xf numFmtId="0" fontId="50" fillId="0" borderId="0" xfId="1074" applyFont="1" applyBorder="1">
      <alignment/>
      <protection/>
    </xf>
    <xf numFmtId="3" fontId="49" fillId="0" borderId="0" xfId="0" applyNumberFormat="1" applyFont="1" applyFill="1" applyAlignment="1">
      <alignment/>
    </xf>
    <xf numFmtId="2" fontId="50" fillId="0" borderId="0" xfId="1094" applyNumberFormat="1" applyFont="1" applyBorder="1" applyAlignment="1" applyProtection="1">
      <alignment/>
      <protection locked="0"/>
    </xf>
    <xf numFmtId="2" fontId="50" fillId="0" borderId="0" xfId="1094" applyNumberFormat="1" applyFont="1" applyBorder="1" applyAlignment="1">
      <alignment/>
    </xf>
    <xf numFmtId="0" fontId="50" fillId="0" borderId="0" xfId="0" applyFont="1" applyAlignment="1">
      <alignment/>
    </xf>
    <xf numFmtId="2" fontId="46" fillId="0" borderId="0" xfId="1094" applyNumberFormat="1" applyFont="1" applyFill="1" applyAlignment="1" applyProtection="1">
      <alignment/>
      <protection/>
    </xf>
    <xf numFmtId="2" fontId="46" fillId="0" borderId="0" xfId="1094" applyNumberFormat="1" applyFont="1" applyAlignment="1" applyProtection="1">
      <alignment/>
      <protection locked="0"/>
    </xf>
    <xf numFmtId="168" fontId="46" fillId="0" borderId="0" xfId="0" applyNumberFormat="1" applyFont="1" applyAlignment="1" applyProtection="1">
      <alignment/>
      <protection locked="0"/>
    </xf>
    <xf numFmtId="1" fontId="52" fillId="0" borderId="0" xfId="1094" applyNumberFormat="1" applyFont="1" applyFill="1" applyBorder="1" applyAlignment="1" applyProtection="1">
      <alignment/>
      <protection/>
    </xf>
    <xf numFmtId="0" fontId="50" fillId="0" borderId="0" xfId="1074" applyFont="1" applyFill="1" applyBorder="1" applyAlignment="1">
      <alignment wrapText="1"/>
      <protection/>
    </xf>
    <xf numFmtId="1" fontId="52" fillId="0" borderId="0" xfId="1094" applyNumberFormat="1" applyFont="1" applyBorder="1" applyAlignment="1" applyProtection="1">
      <alignment/>
      <protection/>
    </xf>
    <xf numFmtId="1" fontId="52" fillId="0" borderId="0" xfId="1094" applyNumberFormat="1" applyFont="1" applyBorder="1" applyAlignment="1">
      <alignment/>
    </xf>
    <xf numFmtId="3" fontId="46" fillId="0" borderId="0" xfId="0" applyNumberFormat="1" applyFont="1" applyAlignment="1" applyProtection="1">
      <alignment/>
      <protection locked="0"/>
    </xf>
    <xf numFmtId="1" fontId="50" fillId="0" borderId="0" xfId="1074" applyNumberFormat="1" applyFont="1" applyBorder="1">
      <alignment/>
      <protection/>
    </xf>
    <xf numFmtId="1" fontId="46" fillId="0" borderId="0" xfId="0" applyNumberFormat="1" applyFont="1" applyAlignment="1" applyProtection="1">
      <alignment/>
      <protection locked="0"/>
    </xf>
    <xf numFmtId="1" fontId="50" fillId="0" borderId="0" xfId="0" applyNumberFormat="1" applyFont="1" applyBorder="1" applyAlignment="1" applyProtection="1">
      <alignment/>
      <protection locked="0"/>
    </xf>
    <xf numFmtId="1" fontId="50" fillId="0" borderId="0" xfId="0" applyNumberFormat="1" applyFont="1" applyBorder="1" applyAlignment="1">
      <alignment/>
    </xf>
    <xf numFmtId="165" fontId="46" fillId="0" borderId="0" xfId="1094" applyNumberFormat="1" applyFont="1" applyAlignment="1" applyProtection="1">
      <alignment/>
      <protection locked="0"/>
    </xf>
    <xf numFmtId="165" fontId="50" fillId="0" borderId="0" xfId="1094" applyNumberFormat="1" applyFont="1" applyBorder="1" applyAlignment="1" applyProtection="1">
      <alignment/>
      <protection locked="0"/>
    </xf>
    <xf numFmtId="170" fontId="46" fillId="0" borderId="0" xfId="1094" applyNumberFormat="1" applyFont="1" applyAlignment="1" applyProtection="1">
      <alignment/>
      <protection locked="0"/>
    </xf>
    <xf numFmtId="170" fontId="50" fillId="0" borderId="0" xfId="0" applyNumberFormat="1" applyFont="1" applyBorder="1" applyAlignment="1" applyProtection="1">
      <alignment/>
      <protection locked="0"/>
    </xf>
    <xf numFmtId="168" fontId="50" fillId="0" borderId="0" xfId="0" applyNumberFormat="1" applyFont="1" applyFill="1" applyAlignment="1" applyProtection="1">
      <alignment horizontal="left"/>
      <protection locked="0"/>
    </xf>
    <xf numFmtId="3" fontId="50" fillId="0" borderId="0" xfId="0" applyNumberFormat="1" applyFont="1" applyFill="1" applyAlignment="1" applyProtection="1">
      <alignment horizontal="left"/>
      <protection/>
    </xf>
    <xf numFmtId="165" fontId="50" fillId="0" borderId="0" xfId="0" applyNumberFormat="1" applyFont="1" applyFill="1" applyBorder="1" applyAlignment="1" applyProtection="1">
      <alignment/>
      <protection locked="0"/>
    </xf>
    <xf numFmtId="165" fontId="50" fillId="0" borderId="0" xfId="1094" applyNumberFormat="1" applyFont="1" applyFill="1" applyBorder="1" applyAlignment="1" applyProtection="1">
      <alignment/>
      <protection locked="0"/>
    </xf>
    <xf numFmtId="0" fontId="50" fillId="0" borderId="0" xfId="0" applyFont="1" applyFill="1" applyBorder="1" applyAlignment="1">
      <alignment/>
    </xf>
    <xf numFmtId="168" fontId="50" fillId="0" borderId="0" xfId="0" applyNumberFormat="1" applyFont="1" applyFill="1" applyBorder="1" applyAlignment="1" applyProtection="1">
      <alignment/>
      <protection locked="0"/>
    </xf>
    <xf numFmtId="0" fontId="50" fillId="0" borderId="0" xfId="0" applyFont="1" applyBorder="1" applyAlignment="1">
      <alignment horizontal="right"/>
    </xf>
    <xf numFmtId="168" fontId="46" fillId="0" borderId="0" xfId="0" applyNumberFormat="1" applyFont="1" applyFill="1" applyAlignment="1" applyProtection="1">
      <alignment horizontal="left"/>
      <protection locked="0"/>
    </xf>
    <xf numFmtId="1" fontId="50" fillId="0" borderId="0" xfId="0" applyNumberFormat="1" applyFont="1" applyFill="1" applyBorder="1" applyAlignment="1">
      <alignment horizontal="right"/>
    </xf>
    <xf numFmtId="171" fontId="50" fillId="0" borderId="0" xfId="0" applyNumberFormat="1" applyFont="1" applyFill="1" applyBorder="1" applyAlignment="1" applyProtection="1">
      <alignment horizontal="left"/>
      <protection locked="0"/>
    </xf>
    <xf numFmtId="3" fontId="50" fillId="0" borderId="0" xfId="0" applyNumberFormat="1" applyFont="1" applyFill="1" applyBorder="1" applyAlignment="1" applyProtection="1">
      <alignment horizontal="left"/>
      <protection locked="0"/>
    </xf>
    <xf numFmtId="10" fontId="50" fillId="0" borderId="0" xfId="1094" applyNumberFormat="1" applyFont="1" applyFill="1" applyBorder="1" applyAlignment="1">
      <alignment horizontal="left"/>
    </xf>
    <xf numFmtId="168" fontId="49" fillId="0" borderId="0" xfId="0" applyNumberFormat="1" applyFont="1" applyFill="1" applyAlignment="1" applyProtection="1">
      <alignment horizontal="left"/>
      <protection locked="0"/>
    </xf>
    <xf numFmtId="168" fontId="46" fillId="0" borderId="0" xfId="0" applyNumberFormat="1" applyFont="1" applyAlignment="1" applyProtection="1">
      <alignment horizontal="left"/>
      <protection locked="0"/>
    </xf>
    <xf numFmtId="3" fontId="50" fillId="0" borderId="0" xfId="0" applyNumberFormat="1" applyFont="1" applyAlignment="1" applyProtection="1">
      <alignment horizontal="left"/>
      <protection/>
    </xf>
    <xf numFmtId="1" fontId="50" fillId="0" borderId="0" xfId="0" applyNumberFormat="1" applyFont="1" applyBorder="1" applyAlignment="1">
      <alignment horizontal="right"/>
    </xf>
    <xf numFmtId="2" fontId="50" fillId="0" borderId="0" xfId="0" applyNumberFormat="1" applyFont="1" applyFill="1" applyBorder="1" applyAlignment="1" applyProtection="1">
      <alignment horizontal="left"/>
      <protection/>
    </xf>
    <xf numFmtId="2" fontId="50" fillId="0" borderId="0" xfId="0" applyNumberFormat="1" applyFont="1" applyBorder="1" applyAlignment="1">
      <alignment horizontal="right"/>
    </xf>
    <xf numFmtId="2" fontId="50" fillId="0" borderId="0" xfId="0" applyNumberFormat="1" applyFont="1" applyFill="1" applyBorder="1" applyAlignment="1">
      <alignment/>
    </xf>
    <xf numFmtId="3" fontId="50" fillId="0" borderId="0" xfId="0" applyNumberFormat="1" applyFont="1" applyBorder="1" applyAlignment="1">
      <alignment horizontal="center"/>
    </xf>
    <xf numFmtId="178" fontId="50" fillId="0" borderId="0" xfId="0" applyNumberFormat="1" applyFont="1" applyAlignment="1">
      <alignment/>
    </xf>
    <xf numFmtId="14" fontId="52" fillId="0" borderId="0" xfId="0" applyNumberFormat="1" applyFont="1" applyAlignment="1">
      <alignment horizontal="center"/>
    </xf>
    <xf numFmtId="0" fontId="52" fillId="0" borderId="0" xfId="0" applyNumberFormat="1" applyFont="1" applyFill="1" applyAlignment="1">
      <alignment horizontal="center"/>
    </xf>
    <xf numFmtId="3" fontId="5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178" fontId="52" fillId="0" borderId="0" xfId="0" applyNumberFormat="1" applyFont="1" applyBorder="1" applyAlignment="1">
      <alignment/>
    </xf>
    <xf numFmtId="178" fontId="50" fillId="0" borderId="0" xfId="0" applyNumberFormat="1" applyFont="1" applyBorder="1" applyAlignment="1">
      <alignment/>
    </xf>
    <xf numFmtId="178" fontId="50" fillId="0" borderId="0" xfId="0" applyNumberFormat="1" applyFont="1" applyFill="1" applyBorder="1" applyAlignment="1">
      <alignment/>
    </xf>
    <xf numFmtId="43" fontId="50" fillId="0" borderId="0" xfId="231" applyFont="1" applyAlignment="1">
      <alignment/>
    </xf>
    <xf numFmtId="49" fontId="50" fillId="0" borderId="0" xfId="0" applyNumberFormat="1" applyFont="1" applyBorder="1" applyAlignment="1">
      <alignment horizontal="left"/>
    </xf>
    <xf numFmtId="14" fontId="52" fillId="0" borderId="0" xfId="0" applyNumberFormat="1" applyFont="1" applyFill="1" applyBorder="1" applyAlignment="1">
      <alignment horizontal="center"/>
    </xf>
    <xf numFmtId="178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178" fontId="50" fillId="0" borderId="0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0" fontId="22" fillId="0" borderId="0" xfId="1071" applyFont="1" applyFill="1" applyAlignment="1" applyProtection="1">
      <alignment horizontal="right"/>
      <protection/>
    </xf>
    <xf numFmtId="0" fontId="22" fillId="0" borderId="0" xfId="1071" applyFont="1" applyFill="1" applyProtection="1">
      <alignment/>
      <protection/>
    </xf>
    <xf numFmtId="0" fontId="24" fillId="0" borderId="0" xfId="1071" applyFont="1" applyFill="1" applyAlignment="1" applyProtection="1">
      <alignment horizontal="center"/>
      <protection/>
    </xf>
    <xf numFmtId="3" fontId="23" fillId="0" borderId="0" xfId="1071" applyNumberFormat="1" applyFont="1" applyFill="1" applyAlignment="1" applyProtection="1">
      <alignment horizontal="right"/>
      <protection/>
    </xf>
    <xf numFmtId="0" fontId="23" fillId="0" borderId="0" xfId="1071" applyFont="1" applyFill="1" applyProtection="1">
      <alignment/>
      <protection/>
    </xf>
    <xf numFmtId="0" fontId="23" fillId="0" borderId="0" xfId="1071" applyFont="1" applyFill="1" applyAlignment="1" applyProtection="1">
      <alignment horizontal="center"/>
      <protection/>
    </xf>
    <xf numFmtId="3" fontId="23" fillId="0" borderId="0" xfId="1071" applyNumberFormat="1" applyFont="1" applyFill="1" applyAlignment="1" applyProtection="1" quotePrefix="1">
      <alignment horizontal="right"/>
      <protection/>
    </xf>
    <xf numFmtId="0" fontId="23" fillId="0" borderId="0" xfId="1071" applyNumberFormat="1" applyFont="1" applyFill="1" applyAlignment="1" applyProtection="1">
      <alignment horizontal="center"/>
      <protection/>
    </xf>
    <xf numFmtId="3" fontId="22" fillId="0" borderId="0" xfId="1071" applyNumberFormat="1" applyFont="1" applyFill="1" applyAlignment="1" applyProtection="1">
      <alignment horizontal="right"/>
      <protection/>
    </xf>
    <xf numFmtId="0" fontId="22" fillId="0" borderId="0" xfId="1071" applyFont="1" applyFill="1" applyAlignment="1" applyProtection="1">
      <alignment horizontal="center"/>
      <protection/>
    </xf>
    <xf numFmtId="3" fontId="22" fillId="0" borderId="0" xfId="1071" applyNumberFormat="1" applyFont="1" applyFill="1">
      <alignment/>
      <protection/>
    </xf>
    <xf numFmtId="0" fontId="22" fillId="0" borderId="0" xfId="1071" applyFont="1" applyFill="1">
      <alignment/>
      <protection/>
    </xf>
    <xf numFmtId="3" fontId="22" fillId="0" borderId="0" xfId="0" applyNumberFormat="1" applyFont="1" applyFill="1" applyAlignment="1" applyProtection="1">
      <alignment/>
      <protection/>
    </xf>
    <xf numFmtId="0" fontId="22" fillId="0" borderId="0" xfId="1071" applyFont="1" applyFill="1" applyAlignment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23" fillId="0" borderId="0" xfId="1071" applyFont="1" applyFill="1" applyAlignment="1">
      <alignment horizontal="right"/>
      <protection/>
    </xf>
    <xf numFmtId="3" fontId="22" fillId="0" borderId="10" xfId="1071" applyNumberFormat="1" applyFont="1" applyFill="1" applyBorder="1">
      <alignment/>
      <protection/>
    </xf>
    <xf numFmtId="3" fontId="22" fillId="0" borderId="10" xfId="0" applyNumberFormat="1" applyFont="1" applyFill="1" applyBorder="1" applyAlignment="1" applyProtection="1">
      <alignment/>
      <protection/>
    </xf>
    <xf numFmtId="165" fontId="22" fillId="0" borderId="10" xfId="1094" applyNumberFormat="1" applyFont="1" applyFill="1" applyBorder="1" applyAlignment="1" applyProtection="1">
      <alignment/>
      <protection/>
    </xf>
    <xf numFmtId="0" fontId="26" fillId="0" borderId="0" xfId="1071" applyFont="1" applyFill="1" applyAlignment="1">
      <alignment horizontal="right"/>
      <protection/>
    </xf>
    <xf numFmtId="3" fontId="0" fillId="0" borderId="0" xfId="0" applyNumberFormat="1" applyFont="1" applyFill="1" applyAlignment="1">
      <alignment/>
    </xf>
    <xf numFmtId="165" fontId="22" fillId="0" borderId="0" xfId="1094" applyNumberFormat="1" applyFont="1" applyFill="1" applyAlignment="1" applyProtection="1">
      <alignment/>
      <protection/>
    </xf>
    <xf numFmtId="0" fontId="22" fillId="0" borderId="11" xfId="1071" applyFont="1" applyFill="1" applyBorder="1" applyAlignment="1">
      <alignment horizontal="right"/>
      <protection/>
    </xf>
    <xf numFmtId="0" fontId="22" fillId="0" borderId="11" xfId="1071" applyFont="1" applyFill="1" applyBorder="1">
      <alignment/>
      <protection/>
    </xf>
    <xf numFmtId="0" fontId="27" fillId="0" borderId="0" xfId="1071" applyFont="1" applyFill="1">
      <alignment/>
      <protection/>
    </xf>
    <xf numFmtId="0" fontId="25" fillId="0" borderId="0" xfId="1071" applyFont="1" applyFill="1">
      <alignment/>
      <protection/>
    </xf>
    <xf numFmtId="165" fontId="22" fillId="0" borderId="0" xfId="1071" applyNumberFormat="1" applyFont="1" applyFill="1">
      <alignment/>
      <protection/>
    </xf>
    <xf numFmtId="0" fontId="22" fillId="0" borderId="0" xfId="0" applyFont="1" applyFill="1" applyAlignment="1">
      <alignment/>
    </xf>
    <xf numFmtId="3" fontId="23" fillId="0" borderId="11" xfId="1071" applyNumberFormat="1" applyFont="1" applyFill="1" applyBorder="1" applyAlignment="1" applyProtection="1" quotePrefix="1">
      <alignment horizontal="center"/>
      <protection/>
    </xf>
    <xf numFmtId="3" fontId="23" fillId="0" borderId="0" xfId="1071" applyNumberFormat="1" applyFont="1" applyFill="1" applyBorder="1" applyAlignment="1" applyProtection="1" quotePrefix="1">
      <alignment horizontal="center"/>
      <protection/>
    </xf>
    <xf numFmtId="0" fontId="25" fillId="0" borderId="0" xfId="0" applyFont="1" applyFill="1" applyAlignment="1">
      <alignment/>
    </xf>
    <xf numFmtId="3" fontId="23" fillId="0" borderId="0" xfId="1071" applyNumberFormat="1" applyFont="1" applyFill="1" applyAlignment="1" applyProtection="1">
      <alignment horizontal="center"/>
      <protection/>
    </xf>
    <xf numFmtId="3" fontId="22" fillId="0" borderId="0" xfId="1071" applyNumberFormat="1" applyFont="1" applyFill="1" applyAlignment="1" applyProtection="1" quotePrefix="1">
      <alignment horizontal="center"/>
      <protection/>
    </xf>
    <xf numFmtId="3" fontId="22" fillId="0" borderId="0" xfId="1071" applyNumberFormat="1" applyFont="1" applyFill="1" applyAlignment="1" applyProtection="1">
      <alignment horizontal="center"/>
      <protection/>
    </xf>
    <xf numFmtId="3" fontId="23" fillId="0" borderId="0" xfId="1071" applyNumberFormat="1" applyFont="1" applyFill="1" applyAlignment="1" applyProtection="1" quotePrefix="1">
      <alignment horizontal="center"/>
      <protection/>
    </xf>
    <xf numFmtId="0" fontId="22" fillId="0" borderId="0" xfId="0" applyFont="1" applyFill="1" applyAlignment="1">
      <alignment horizontal="center"/>
    </xf>
    <xf numFmtId="0" fontId="25" fillId="0" borderId="0" xfId="1071" applyFont="1" applyFill="1" applyAlignment="1">
      <alignment horizontal="right"/>
      <protection/>
    </xf>
    <xf numFmtId="0" fontId="27" fillId="0" borderId="0" xfId="1071" applyFont="1" applyFill="1" applyAlignment="1">
      <alignment horizontal="right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/>
    </xf>
    <xf numFmtId="0" fontId="25" fillId="0" borderId="0" xfId="1071" applyFont="1" applyFill="1" applyAlignment="1">
      <alignment horizontal="left"/>
      <protection/>
    </xf>
    <xf numFmtId="0" fontId="25" fillId="0" borderId="0" xfId="0" applyFont="1" applyFill="1" applyBorder="1" applyAlignment="1">
      <alignment/>
    </xf>
    <xf numFmtId="0" fontId="22" fillId="0" borderId="0" xfId="1071" applyFont="1" applyFill="1" applyAlignment="1" quotePrefix="1">
      <alignment horizontal="right"/>
      <protection/>
    </xf>
    <xf numFmtId="3" fontId="22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 applyProtection="1">
      <alignment horizontal="center"/>
      <protection/>
    </xf>
    <xf numFmtId="3" fontId="27" fillId="0" borderId="0" xfId="1075" applyNumberFormat="1" applyFont="1" applyFill="1" applyBorder="1" applyAlignment="1">
      <alignment horizontal="center" vertical="top" wrapText="1"/>
      <protection/>
    </xf>
    <xf numFmtId="3" fontId="27" fillId="0" borderId="0" xfId="0" applyNumberFormat="1" applyFont="1" applyFill="1" applyBorder="1" applyAlignment="1" applyProtection="1">
      <alignment horizontal="center" vertical="top" wrapText="1"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27" fillId="0" borderId="0" xfId="0" applyFont="1" applyAlignment="1" quotePrefix="1">
      <alignment horizontal="center"/>
    </xf>
    <xf numFmtId="3" fontId="27" fillId="0" borderId="0" xfId="0" applyNumberFormat="1" applyFont="1" applyFill="1" applyBorder="1" applyAlignment="1" applyProtection="1">
      <alignment horizontal="left"/>
      <protection/>
    </xf>
    <xf numFmtId="3" fontId="28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5" fillId="0" borderId="0" xfId="1075" applyNumberFormat="1" applyFont="1" applyFill="1" applyBorder="1" applyAlignment="1">
      <alignment horizontal="right" wrapText="1"/>
      <protection/>
    </xf>
    <xf numFmtId="3" fontId="25" fillId="0" borderId="0" xfId="1075" applyNumberFormat="1" applyFont="1" applyBorder="1">
      <alignment/>
      <protection/>
    </xf>
    <xf numFmtId="3" fontId="25" fillId="0" borderId="0" xfId="0" applyNumberFormat="1" applyFont="1" applyFill="1" applyBorder="1" applyAlignment="1" applyProtection="1">
      <alignment/>
      <protection locked="0"/>
    </xf>
    <xf numFmtId="3" fontId="25" fillId="0" borderId="0" xfId="0" applyNumberFormat="1" applyFont="1" applyBorder="1" applyAlignment="1">
      <alignment/>
    </xf>
    <xf numFmtId="3" fontId="27" fillId="0" borderId="0" xfId="0" applyNumberFormat="1" applyFont="1" applyAlignment="1" quotePrefix="1">
      <alignment horizontal="center"/>
    </xf>
    <xf numFmtId="3" fontId="25" fillId="0" borderId="0" xfId="1076" applyNumberFormat="1" applyFont="1" applyBorder="1">
      <alignment/>
      <protection/>
    </xf>
    <xf numFmtId="3" fontId="25" fillId="0" borderId="0" xfId="1076" applyNumberFormat="1" applyFont="1" applyFill="1" applyBorder="1" applyAlignment="1">
      <alignment horizontal="right" wrapText="1"/>
      <protection/>
    </xf>
    <xf numFmtId="3" fontId="27" fillId="0" borderId="0" xfId="0" applyNumberFormat="1" applyFont="1" applyFill="1" applyBorder="1" applyAlignment="1" applyProtection="1">
      <alignment horizontal="left"/>
      <protection locked="0"/>
    </xf>
    <xf numFmtId="3" fontId="28" fillId="0" borderId="0" xfId="0" applyNumberFormat="1" applyFont="1" applyFill="1" applyBorder="1" applyAlignment="1" applyProtection="1">
      <alignment horizontal="left"/>
      <protection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29" fillId="0" borderId="0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 quotePrefix="1">
      <alignment horizontal="center"/>
      <protection/>
    </xf>
    <xf numFmtId="3" fontId="25" fillId="0" borderId="0" xfId="1069" applyNumberFormat="1" applyFont="1" applyFill="1" applyBorder="1" applyAlignment="1">
      <alignment horizontal="center"/>
      <protection/>
    </xf>
    <xf numFmtId="3" fontId="25" fillId="0" borderId="0" xfId="1069" applyNumberFormat="1" applyFont="1" applyFill="1" applyBorder="1" applyAlignment="1">
      <alignment horizontal="right" wrapText="1"/>
      <protection/>
    </xf>
    <xf numFmtId="3" fontId="25" fillId="0" borderId="0" xfId="1069" applyNumberFormat="1" applyFont="1" applyFill="1" applyBorder="1">
      <alignment/>
      <protection/>
    </xf>
    <xf numFmtId="3" fontId="25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applyProtection="1">
      <alignment vertical="top" wrapText="1"/>
      <protection/>
    </xf>
    <xf numFmtId="0" fontId="27" fillId="0" borderId="0" xfId="0" applyFont="1" applyFill="1" applyAlignment="1" quotePrefix="1">
      <alignment horizontal="center"/>
    </xf>
    <xf numFmtId="3" fontId="25" fillId="0" borderId="0" xfId="0" applyNumberFormat="1" applyFont="1" applyFill="1" applyBorder="1" applyAlignment="1" applyProtection="1">
      <alignment horizontal="center" vertical="top" wrapText="1"/>
      <protection/>
    </xf>
    <xf numFmtId="3" fontId="30" fillId="0" borderId="0" xfId="0" applyNumberFormat="1" applyFont="1" applyFill="1" applyBorder="1" applyAlignment="1" applyProtection="1">
      <alignment horizontal="center"/>
      <protection/>
    </xf>
    <xf numFmtId="3" fontId="29" fillId="0" borderId="0" xfId="0" applyNumberFormat="1" applyFont="1" applyFill="1" applyBorder="1" applyAlignment="1" applyProtection="1">
      <alignment horizontal="center"/>
      <protection/>
    </xf>
    <xf numFmtId="0" fontId="21" fillId="0" borderId="0" xfId="1076" applyFont="1" applyFill="1" applyBorder="1" applyAlignment="1">
      <alignment horizontal="center"/>
      <protection/>
    </xf>
    <xf numFmtId="0" fontId="25" fillId="0" borderId="0" xfId="1076" applyFont="1" applyFill="1" applyBorder="1">
      <alignment/>
      <protection/>
    </xf>
    <xf numFmtId="0" fontId="25" fillId="0" borderId="0" xfId="1076" applyFont="1" applyFill="1" applyBorder="1" applyAlignment="1">
      <alignment horizontal="right" wrapText="1"/>
      <protection/>
    </xf>
    <xf numFmtId="3" fontId="25" fillId="0" borderId="0" xfId="0" applyNumberFormat="1" applyFont="1" applyFill="1" applyAlignment="1" applyProtection="1">
      <alignment/>
      <protection locked="0"/>
    </xf>
    <xf numFmtId="3" fontId="25" fillId="0" borderId="0" xfId="0" applyNumberFormat="1" applyFont="1" applyFill="1" applyAlignment="1" applyProtection="1">
      <alignment/>
      <protection/>
    </xf>
    <xf numFmtId="169" fontId="25" fillId="0" borderId="0" xfId="1070" applyNumberFormat="1" applyFont="1" applyFill="1" applyBorder="1">
      <alignment/>
      <protection/>
    </xf>
    <xf numFmtId="18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Alignment="1" applyProtection="1">
      <alignment/>
      <protection/>
    </xf>
    <xf numFmtId="3" fontId="55" fillId="0" borderId="0" xfId="0" applyNumberFormat="1" applyFont="1" applyAlignment="1">
      <alignment/>
    </xf>
    <xf numFmtId="3" fontId="29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 applyProtection="1">
      <alignment horizontal="left"/>
      <protection/>
    </xf>
    <xf numFmtId="3" fontId="27" fillId="0" borderId="0" xfId="0" applyNumberFormat="1" applyFont="1" applyFill="1" applyBorder="1" applyAlignment="1" applyProtection="1">
      <alignment/>
      <protection locked="0"/>
    </xf>
    <xf numFmtId="3" fontId="27" fillId="0" borderId="0" xfId="0" applyNumberFormat="1" applyFont="1" applyFill="1" applyAlignment="1" applyProtection="1">
      <alignment/>
      <protection locked="0"/>
    </xf>
    <xf numFmtId="3" fontId="27" fillId="0" borderId="0" xfId="1073" applyNumberFormat="1" applyFont="1" applyFill="1" applyBorder="1" applyAlignment="1">
      <alignment horizontal="right" wrapText="1"/>
      <protection/>
    </xf>
    <xf numFmtId="3" fontId="25" fillId="0" borderId="0" xfId="1073" applyNumberFormat="1" applyFont="1" applyFill="1" applyBorder="1" applyAlignment="1">
      <alignment horizontal="right" wrapText="1"/>
      <protection/>
    </xf>
    <xf numFmtId="3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Border="1" applyAlignment="1">
      <alignment/>
    </xf>
    <xf numFmtId="10" fontId="25" fillId="0" borderId="0" xfId="0" applyNumberFormat="1" applyFont="1" applyFill="1" applyBorder="1" applyAlignment="1" applyProtection="1">
      <alignment horizontal="left"/>
      <protection/>
    </xf>
    <xf numFmtId="10" fontId="25" fillId="0" borderId="0" xfId="0" applyNumberFormat="1" applyFont="1" applyFill="1" applyBorder="1" applyAlignment="1" applyProtection="1">
      <alignment horizontal="right"/>
      <protection/>
    </xf>
    <xf numFmtId="0" fontId="25" fillId="0" borderId="0" xfId="1072" applyFont="1" applyBorder="1">
      <alignment/>
      <protection/>
    </xf>
    <xf numFmtId="0" fontId="25" fillId="0" borderId="0" xfId="1072" applyFont="1" applyFill="1" applyBorder="1" applyAlignment="1">
      <alignment horizontal="right" wrapText="1"/>
      <protection/>
    </xf>
    <xf numFmtId="170" fontId="25" fillId="0" borderId="0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center"/>
    </xf>
    <xf numFmtId="1" fontId="25" fillId="0" borderId="0" xfId="1072" applyNumberFormat="1" applyFont="1" applyBorder="1">
      <alignment/>
      <protection/>
    </xf>
    <xf numFmtId="9" fontId="25" fillId="0" borderId="0" xfId="1094" applyFont="1" applyFill="1" applyBorder="1" applyAlignment="1">
      <alignment/>
    </xf>
    <xf numFmtId="9" fontId="25" fillId="0" borderId="0" xfId="1094" applyFont="1" applyFill="1" applyBorder="1" applyAlignment="1" applyProtection="1">
      <alignment horizontal="left" wrapText="1"/>
      <protection/>
    </xf>
    <xf numFmtId="179" fontId="25" fillId="0" borderId="0" xfId="1094" applyNumberFormat="1" applyFont="1" applyBorder="1" applyAlignment="1" applyProtection="1">
      <alignment/>
      <protection locked="0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168" fontId="25" fillId="0" borderId="0" xfId="0" applyNumberFormat="1" applyFont="1" applyFill="1" applyBorder="1" applyAlignment="1" applyProtection="1">
      <alignment horizontal="left"/>
      <protection locked="0"/>
    </xf>
    <xf numFmtId="168" fontId="25" fillId="0" borderId="0" xfId="0" applyNumberFormat="1" applyFont="1" applyFill="1" applyBorder="1" applyAlignment="1" applyProtection="1">
      <alignment horizontal="center"/>
      <protection locked="0"/>
    </xf>
    <xf numFmtId="168" fontId="25" fillId="0" borderId="0" xfId="0" applyNumberFormat="1" applyFont="1" applyBorder="1" applyAlignment="1" applyProtection="1">
      <alignment horizontal="left"/>
      <protection locked="0"/>
    </xf>
    <xf numFmtId="165" fontId="25" fillId="0" borderId="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>
      <alignment horizontal="left"/>
      <protection/>
    </xf>
    <xf numFmtId="3" fontId="26" fillId="0" borderId="0" xfId="0" applyNumberFormat="1" applyFont="1" applyFill="1" applyAlignment="1">
      <alignment/>
    </xf>
    <xf numFmtId="170" fontId="25" fillId="0" borderId="0" xfId="1094" applyNumberFormat="1" applyFont="1" applyFill="1" applyBorder="1" applyAlignment="1" applyProtection="1">
      <alignment/>
      <protection/>
    </xf>
    <xf numFmtId="170" fontId="25" fillId="0" borderId="0" xfId="1072" applyNumberFormat="1" applyFont="1" applyFill="1" applyBorder="1" applyAlignment="1">
      <alignment horizontal="right" wrapText="1"/>
      <protection/>
    </xf>
    <xf numFmtId="170" fontId="27" fillId="0" borderId="0" xfId="1072" applyNumberFormat="1" applyFont="1" applyFill="1" applyBorder="1" applyAlignment="1">
      <alignment horizontal="right" wrapText="1"/>
      <protection/>
    </xf>
    <xf numFmtId="170" fontId="25" fillId="0" borderId="0" xfId="1094" applyNumberFormat="1" applyFont="1" applyBorder="1" applyAlignment="1">
      <alignment/>
    </xf>
    <xf numFmtId="165" fontId="25" fillId="0" borderId="0" xfId="0" applyNumberFormat="1" applyFont="1" applyBorder="1" applyAlignment="1" applyProtection="1">
      <alignment/>
      <protection locked="0"/>
    </xf>
    <xf numFmtId="3" fontId="25" fillId="0" borderId="0" xfId="0" applyNumberFormat="1" applyFont="1" applyBorder="1" applyAlignment="1" applyProtection="1">
      <alignment/>
      <protection/>
    </xf>
    <xf numFmtId="170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Border="1" applyAlignment="1">
      <alignment/>
    </xf>
    <xf numFmtId="9" fontId="27" fillId="0" borderId="0" xfId="1094" applyFont="1" applyFill="1" applyBorder="1" applyAlignment="1" applyProtection="1">
      <alignment/>
      <protection/>
    </xf>
    <xf numFmtId="3" fontId="27" fillId="0" borderId="0" xfId="1094" applyNumberFormat="1" applyFont="1" applyFill="1" applyBorder="1" applyAlignment="1" applyProtection="1">
      <alignment/>
      <protection/>
    </xf>
    <xf numFmtId="165" fontId="25" fillId="0" borderId="0" xfId="1094" applyNumberFormat="1" applyFont="1" applyFill="1" applyBorder="1" applyAlignment="1" applyProtection="1">
      <alignment/>
      <protection/>
    </xf>
    <xf numFmtId="9" fontId="25" fillId="0" borderId="0" xfId="1094" applyFont="1" applyBorder="1" applyAlignment="1" applyProtection="1">
      <alignment/>
      <protection locked="0"/>
    </xf>
    <xf numFmtId="9" fontId="25" fillId="0" borderId="0" xfId="1094" applyFont="1" applyFill="1" applyBorder="1" applyAlignment="1" applyProtection="1">
      <alignment wrapText="1"/>
      <protection locked="0"/>
    </xf>
    <xf numFmtId="9" fontId="25" fillId="0" borderId="0" xfId="1094" applyFont="1" applyFill="1" applyBorder="1" applyAlignment="1" applyProtection="1">
      <alignment/>
      <protection/>
    </xf>
    <xf numFmtId="3" fontId="25" fillId="0" borderId="0" xfId="0" applyNumberFormat="1" applyFont="1" applyBorder="1" applyAlignment="1" applyProtection="1">
      <alignment/>
      <protection locked="0"/>
    </xf>
    <xf numFmtId="0" fontId="25" fillId="0" borderId="0" xfId="0" applyFont="1" applyFill="1" applyBorder="1" applyAlignment="1">
      <alignment horizontal="left"/>
    </xf>
    <xf numFmtId="168" fontId="25" fillId="0" borderId="0" xfId="0" applyNumberFormat="1" applyFont="1" applyFill="1" applyBorder="1" applyAlignment="1" applyProtection="1">
      <alignment horizontal="right"/>
      <protection locked="0"/>
    </xf>
    <xf numFmtId="168" fontId="25" fillId="0" borderId="0" xfId="0" applyNumberFormat="1" applyFont="1" applyFill="1" applyBorder="1" applyAlignment="1" applyProtection="1">
      <alignment/>
      <protection locked="0"/>
    </xf>
    <xf numFmtId="3" fontId="25" fillId="0" borderId="0" xfId="0" applyNumberFormat="1" applyFont="1" applyFill="1" applyBorder="1" applyAlignment="1" applyProtection="1">
      <alignment horizontal="left" wrapText="1"/>
      <protection/>
    </xf>
    <xf numFmtId="3" fontId="25" fillId="0" borderId="0" xfId="0" applyNumberFormat="1" applyFont="1" applyFill="1" applyBorder="1" applyAlignment="1" applyProtection="1">
      <alignment horizontal="right" wrapText="1"/>
      <protection/>
    </xf>
    <xf numFmtId="3" fontId="31" fillId="0" borderId="0" xfId="0" applyNumberFormat="1" applyFont="1" applyFill="1" applyBorder="1" applyAlignment="1">
      <alignment/>
    </xf>
    <xf numFmtId="3" fontId="27" fillId="0" borderId="12" xfId="0" applyNumberFormat="1" applyFont="1" applyFill="1" applyBorder="1" applyAlignment="1" applyProtection="1">
      <alignment horizontal="left"/>
      <protection/>
    </xf>
    <xf numFmtId="3" fontId="25" fillId="0" borderId="12" xfId="0" applyNumberFormat="1" applyFont="1" applyFill="1" applyBorder="1" applyAlignment="1" applyProtection="1">
      <alignment horizontal="right"/>
      <protection/>
    </xf>
    <xf numFmtId="3" fontId="25" fillId="0" borderId="12" xfId="0" applyNumberFormat="1" applyFont="1" applyFill="1" applyBorder="1" applyAlignment="1" applyProtection="1">
      <alignment horizontal="left"/>
      <protection/>
    </xf>
    <xf numFmtId="0" fontId="25" fillId="0" borderId="12" xfId="0" applyFont="1" applyBorder="1" applyAlignment="1">
      <alignment horizontal="left"/>
    </xf>
    <xf numFmtId="168" fontId="25" fillId="0" borderId="12" xfId="0" applyNumberFormat="1" applyFont="1" applyBorder="1" applyAlignment="1" applyProtection="1">
      <alignment horizontal="left"/>
      <protection locked="0"/>
    </xf>
    <xf numFmtId="3" fontId="25" fillId="0" borderId="12" xfId="0" applyNumberFormat="1" applyFont="1" applyBorder="1" applyAlignment="1" applyProtection="1">
      <alignment horizontal="left"/>
      <protection/>
    </xf>
    <xf numFmtId="168" fontId="25" fillId="0" borderId="0" xfId="0" applyNumberFormat="1" applyFont="1" applyBorder="1" applyAlignment="1" applyProtection="1">
      <alignment/>
      <protection locked="0"/>
    </xf>
    <xf numFmtId="3" fontId="25" fillId="24" borderId="0" xfId="0" applyNumberFormat="1" applyFont="1" applyFill="1" applyBorder="1" applyAlignment="1" applyProtection="1">
      <alignment horizontal="right"/>
      <protection/>
    </xf>
    <xf numFmtId="4" fontId="25" fillId="0" borderId="0" xfId="0" applyNumberFormat="1" applyFont="1" applyBorder="1" applyAlignment="1">
      <alignment/>
    </xf>
    <xf numFmtId="10" fontId="25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170" fontId="25" fillId="0" borderId="0" xfId="0" applyNumberFormat="1" applyFont="1" applyFill="1" applyBorder="1" applyAlignment="1" applyProtection="1">
      <alignment horizontal="left"/>
      <protection/>
    </xf>
    <xf numFmtId="170" fontId="25" fillId="0" borderId="0" xfId="0" applyNumberFormat="1" applyFont="1" applyFill="1" applyBorder="1" applyAlignment="1" applyProtection="1">
      <alignment horizontal="right"/>
      <protection/>
    </xf>
    <xf numFmtId="170" fontId="25" fillId="0" borderId="0" xfId="0" applyNumberFormat="1" applyFont="1" applyBorder="1" applyAlignment="1">
      <alignment/>
    </xf>
    <xf numFmtId="170" fontId="25" fillId="0" borderId="12" xfId="0" applyNumberFormat="1" applyFont="1" applyFill="1" applyBorder="1" applyAlignment="1">
      <alignment/>
    </xf>
    <xf numFmtId="170" fontId="25" fillId="0" borderId="12" xfId="0" applyNumberFormat="1" applyFont="1" applyFill="1" applyBorder="1" applyAlignment="1">
      <alignment horizontal="right"/>
    </xf>
    <xf numFmtId="170" fontId="25" fillId="0" borderId="12" xfId="1094" applyNumberFormat="1" applyFont="1" applyFill="1" applyBorder="1" applyAlignment="1" applyProtection="1">
      <alignment horizontal="right"/>
      <protection/>
    </xf>
    <xf numFmtId="10" fontId="25" fillId="0" borderId="0" xfId="1094" applyNumberFormat="1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2" fontId="25" fillId="0" borderId="0" xfId="0" applyNumberFormat="1" applyFont="1" applyBorder="1" applyAlignment="1">
      <alignment/>
    </xf>
    <xf numFmtId="2" fontId="25" fillId="0" borderId="0" xfId="0" applyNumberFormat="1" applyFont="1" applyBorder="1" applyAlignment="1" applyProtection="1">
      <alignment horizontal="left"/>
      <protection/>
    </xf>
    <xf numFmtId="2" fontId="25" fillId="0" borderId="0" xfId="0" applyNumberFormat="1" applyFont="1" applyFill="1" applyBorder="1" applyAlignment="1" applyProtection="1">
      <alignment/>
      <protection/>
    </xf>
    <xf numFmtId="2" fontId="25" fillId="0" borderId="11" xfId="0" applyNumberFormat="1" applyFont="1" applyBorder="1" applyAlignment="1">
      <alignment/>
    </xf>
    <xf numFmtId="2" fontId="25" fillId="0" borderId="11" xfId="0" applyNumberFormat="1" applyFont="1" applyFill="1" applyBorder="1" applyAlignment="1" applyProtection="1">
      <alignment/>
      <protection/>
    </xf>
    <xf numFmtId="3" fontId="25" fillId="0" borderId="11" xfId="0" applyNumberFormat="1" applyFont="1" applyFill="1" applyBorder="1" applyAlignment="1" applyProtection="1">
      <alignment/>
      <protection locked="0"/>
    </xf>
    <xf numFmtId="3" fontId="25" fillId="0" borderId="12" xfId="0" applyNumberFormat="1" applyFont="1" applyBorder="1" applyAlignment="1" applyProtection="1">
      <alignment/>
      <protection/>
    </xf>
    <xf numFmtId="3" fontId="25" fillId="0" borderId="11" xfId="0" applyNumberFormat="1" applyFont="1" applyBorder="1" applyAlignment="1" applyProtection="1">
      <alignment/>
      <protection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right"/>
    </xf>
    <xf numFmtId="165" fontId="25" fillId="0" borderId="0" xfId="1094" applyNumberFormat="1" applyFont="1" applyBorder="1" applyAlignment="1">
      <alignment/>
    </xf>
    <xf numFmtId="3" fontId="25" fillId="0" borderId="0" xfId="1094" applyNumberFormat="1" applyFont="1" applyBorder="1" applyAlignment="1">
      <alignment/>
    </xf>
    <xf numFmtId="1" fontId="25" fillId="0" borderId="12" xfId="1094" applyNumberFormat="1" applyFont="1" applyBorder="1" applyAlignment="1">
      <alignment/>
    </xf>
    <xf numFmtId="165" fontId="25" fillId="0" borderId="12" xfId="1094" applyNumberFormat="1" applyFont="1" applyBorder="1" applyAlignment="1">
      <alignment/>
    </xf>
    <xf numFmtId="0" fontId="25" fillId="0" borderId="0" xfId="0" applyFont="1" applyFill="1" applyAlignment="1">
      <alignment horizontal="right"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3" fontId="25" fillId="0" borderId="0" xfId="1075" applyNumberFormat="1" applyFont="1" applyFill="1" applyBorder="1" applyAlignment="1">
      <alignment horizontal="center"/>
      <protection/>
    </xf>
    <xf numFmtId="3" fontId="26" fillId="0" borderId="0" xfId="0" applyNumberFormat="1" applyFont="1" applyFill="1" applyAlignment="1" applyProtection="1">
      <alignment/>
      <protection/>
    </xf>
    <xf numFmtId="3" fontId="25" fillId="0" borderId="0" xfId="650" applyNumberFormat="1" applyFont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5" fillId="0" borderId="0" xfId="343" applyNumberFormat="1" applyFont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5" fillId="0" borderId="0" xfId="837" applyNumberFormat="1" applyFont="1">
      <alignment/>
      <protection/>
    </xf>
    <xf numFmtId="3" fontId="25" fillId="0" borderId="0" xfId="360" applyNumberFormat="1" applyFont="1">
      <alignment/>
      <protection/>
    </xf>
    <xf numFmtId="3" fontId="25" fillId="0" borderId="0" xfId="949" applyNumberFormat="1" applyFont="1">
      <alignment/>
      <protection/>
    </xf>
    <xf numFmtId="3" fontId="25" fillId="0" borderId="0" xfId="377" applyNumberFormat="1" applyFont="1">
      <alignment/>
      <protection/>
    </xf>
    <xf numFmtId="3" fontId="25" fillId="0" borderId="0" xfId="996" applyNumberFormat="1" applyFont="1">
      <alignment/>
      <protection/>
    </xf>
    <xf numFmtId="3" fontId="25" fillId="0" borderId="0" xfId="394" applyNumberFormat="1" applyFont="1">
      <alignment/>
      <protection/>
    </xf>
    <xf numFmtId="3" fontId="25" fillId="0" borderId="0" xfId="1018" applyNumberFormat="1" applyFont="1">
      <alignment/>
      <protection/>
    </xf>
    <xf numFmtId="3" fontId="25" fillId="0" borderId="0" xfId="411" applyNumberFormat="1" applyFont="1">
      <alignment/>
      <protection/>
    </xf>
    <xf numFmtId="3" fontId="25" fillId="0" borderId="0" xfId="1035" applyNumberFormat="1" applyFont="1">
      <alignment/>
      <protection/>
    </xf>
    <xf numFmtId="3" fontId="25" fillId="0" borderId="0" xfId="1052" applyNumberFormat="1" applyFont="1">
      <alignment/>
      <protection/>
    </xf>
    <xf numFmtId="3" fontId="25" fillId="0" borderId="0" xfId="428" applyNumberFormat="1" applyFont="1">
      <alignment/>
      <protection/>
    </xf>
    <xf numFmtId="3" fontId="25" fillId="0" borderId="0" xfId="309" applyNumberFormat="1" applyFont="1">
      <alignment/>
      <protection/>
    </xf>
    <xf numFmtId="3" fontId="25" fillId="0" borderId="0" xfId="445" applyNumberFormat="1" applyFont="1">
      <alignment/>
      <protection/>
    </xf>
    <xf numFmtId="3" fontId="25" fillId="0" borderId="0" xfId="326" applyNumberFormat="1" applyFont="1">
      <alignment/>
      <protection/>
    </xf>
    <xf numFmtId="3" fontId="27" fillId="0" borderId="0" xfId="1075" applyNumberFormat="1" applyFont="1" applyFill="1" applyBorder="1" applyAlignment="1">
      <alignment horizontal="right" wrapText="1"/>
      <protection/>
    </xf>
    <xf numFmtId="3" fontId="25" fillId="0" borderId="0" xfId="462" applyNumberFormat="1" applyFont="1">
      <alignment/>
      <protection/>
    </xf>
    <xf numFmtId="3" fontId="25" fillId="0" borderId="0" xfId="1076" applyNumberFormat="1" applyFont="1" applyFill="1" applyBorder="1" applyAlignment="1">
      <alignment horizontal="center"/>
      <protection/>
    </xf>
    <xf numFmtId="3" fontId="25" fillId="0" borderId="0" xfId="480" applyNumberFormat="1" applyFont="1">
      <alignment/>
      <protection/>
    </xf>
    <xf numFmtId="3" fontId="25" fillId="0" borderId="0" xfId="497" applyNumberFormat="1" applyFont="1">
      <alignment/>
      <protection/>
    </xf>
    <xf numFmtId="3" fontId="25" fillId="0" borderId="0" xfId="514" applyNumberFormat="1" applyFont="1">
      <alignment/>
      <protection/>
    </xf>
    <xf numFmtId="3" fontId="25" fillId="0" borderId="0" xfId="531" applyNumberFormat="1" applyFont="1">
      <alignment/>
      <protection/>
    </xf>
    <xf numFmtId="3" fontId="25" fillId="0" borderId="0" xfId="548" applyNumberFormat="1" applyFont="1">
      <alignment/>
      <protection/>
    </xf>
    <xf numFmtId="3" fontId="25" fillId="0" borderId="0" xfId="667" applyNumberFormat="1" applyFont="1">
      <alignment/>
      <protection/>
    </xf>
    <xf numFmtId="3" fontId="25" fillId="0" borderId="0" xfId="565" applyNumberFormat="1" applyFont="1">
      <alignment/>
      <protection/>
    </xf>
    <xf numFmtId="3" fontId="25" fillId="0" borderId="0" xfId="684" applyNumberFormat="1" applyFont="1">
      <alignment/>
      <protection/>
    </xf>
    <xf numFmtId="3" fontId="25" fillId="0" borderId="0" xfId="582" applyNumberFormat="1" applyFont="1">
      <alignment/>
      <protection/>
    </xf>
    <xf numFmtId="3" fontId="25" fillId="0" borderId="0" xfId="701" applyNumberFormat="1" applyFont="1">
      <alignment/>
      <protection/>
    </xf>
    <xf numFmtId="3" fontId="25" fillId="0" borderId="0" xfId="599" applyNumberFormat="1" applyFont="1">
      <alignment/>
      <protection/>
    </xf>
    <xf numFmtId="3" fontId="25" fillId="0" borderId="0" xfId="718" applyNumberFormat="1" applyFont="1">
      <alignment/>
      <protection/>
    </xf>
    <xf numFmtId="3" fontId="25" fillId="0" borderId="0" xfId="616" applyNumberFormat="1" applyFont="1">
      <alignment/>
      <protection/>
    </xf>
    <xf numFmtId="3" fontId="25" fillId="0" borderId="0" xfId="633" applyNumberFormat="1" applyFont="1">
      <alignment/>
      <protection/>
    </xf>
    <xf numFmtId="3" fontId="25" fillId="0" borderId="0" xfId="735" applyNumberFormat="1" applyFont="1">
      <alignment/>
      <protection/>
    </xf>
    <xf numFmtId="3" fontId="25" fillId="0" borderId="0" xfId="1094" applyNumberFormat="1" applyFont="1" applyFill="1" applyBorder="1" applyAlignment="1">
      <alignment/>
    </xf>
    <xf numFmtId="3" fontId="25" fillId="0" borderId="0" xfId="752" applyNumberFormat="1" applyFont="1">
      <alignment/>
      <protection/>
    </xf>
    <xf numFmtId="3" fontId="25" fillId="0" borderId="0" xfId="1077" applyNumberFormat="1" applyFont="1" applyFill="1" applyBorder="1" applyAlignment="1">
      <alignment horizontal="center"/>
      <protection/>
    </xf>
    <xf numFmtId="3" fontId="25" fillId="0" borderId="0" xfId="769" applyNumberFormat="1" applyFont="1">
      <alignment/>
      <protection/>
    </xf>
    <xf numFmtId="3" fontId="25" fillId="0" borderId="0" xfId="1077" applyNumberFormat="1" applyFont="1" applyFill="1" applyBorder="1" applyAlignment="1">
      <alignment horizontal="right" wrapText="1"/>
      <protection/>
    </xf>
    <xf numFmtId="3" fontId="25" fillId="0" borderId="0" xfId="854" applyNumberFormat="1" applyFont="1">
      <alignment/>
      <protection/>
    </xf>
    <xf numFmtId="3" fontId="25" fillId="0" borderId="0" xfId="1077" applyNumberFormat="1" applyFont="1" applyBorder="1">
      <alignment/>
      <protection/>
    </xf>
    <xf numFmtId="3" fontId="25" fillId="0" borderId="0" xfId="786" applyNumberFormat="1" applyFont="1">
      <alignment/>
      <protection/>
    </xf>
    <xf numFmtId="3" fontId="25" fillId="0" borderId="0" xfId="872" applyNumberFormat="1" applyFont="1">
      <alignment/>
      <protection/>
    </xf>
    <xf numFmtId="3" fontId="25" fillId="0" borderId="0" xfId="889" applyNumberFormat="1" applyFont="1">
      <alignment/>
      <protection/>
    </xf>
    <xf numFmtId="3" fontId="25" fillId="0" borderId="0" xfId="803" applyNumberFormat="1" applyFont="1">
      <alignment/>
      <protection/>
    </xf>
    <xf numFmtId="3" fontId="25" fillId="0" borderId="0" xfId="906" applyNumberFormat="1" applyFont="1">
      <alignment/>
      <protection/>
    </xf>
    <xf numFmtId="3" fontId="25" fillId="0" borderId="0" xfId="820" applyNumberFormat="1" applyFont="1">
      <alignment/>
      <protection/>
    </xf>
    <xf numFmtId="3" fontId="25" fillId="0" borderId="0" xfId="924" applyNumberFormat="1" applyFont="1">
      <alignment/>
      <protection/>
    </xf>
    <xf numFmtId="3" fontId="27" fillId="0" borderId="0" xfId="1077" applyNumberFormat="1" applyFont="1" applyFill="1" applyBorder="1" applyAlignment="1">
      <alignment horizontal="right" wrapText="1"/>
      <protection/>
    </xf>
    <xf numFmtId="3" fontId="27" fillId="0" borderId="0" xfId="0" applyNumberFormat="1" applyFont="1" applyFill="1" applyAlignment="1" applyProtection="1">
      <alignment horizontal="center" wrapText="1"/>
      <protection/>
    </xf>
    <xf numFmtId="1" fontId="27" fillId="0" borderId="0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Alignment="1" applyProtection="1">
      <alignment horizontal="center"/>
      <protection/>
    </xf>
    <xf numFmtId="3" fontId="23" fillId="0" borderId="0" xfId="0" applyNumberFormat="1" applyFont="1" applyFill="1" applyAlignment="1" applyProtection="1">
      <alignment horizontal="center" wrapText="1"/>
      <protection/>
    </xf>
    <xf numFmtId="1" fontId="25" fillId="0" borderId="0" xfId="0" applyNumberFormat="1" applyFont="1" applyFill="1" applyBorder="1" applyAlignment="1" applyProtection="1">
      <alignment horizontal="right"/>
      <protection/>
    </xf>
    <xf numFmtId="1" fontId="25" fillId="0" borderId="0" xfId="1094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Alignment="1" applyProtection="1" quotePrefix="1">
      <alignment horizontal="center"/>
      <protection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5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1074" applyFont="1" applyFill="1" applyBorder="1" applyAlignment="1">
      <alignment wrapText="1"/>
      <protection/>
    </xf>
    <xf numFmtId="2" fontId="25" fillId="0" borderId="0" xfId="1094" applyNumberFormat="1" applyFont="1" applyFill="1" applyBorder="1" applyAlignment="1" applyProtection="1">
      <alignment horizontal="left"/>
      <protection/>
    </xf>
    <xf numFmtId="1" fontId="27" fillId="0" borderId="0" xfId="1094" applyNumberFormat="1" applyFont="1" applyFill="1" applyBorder="1" applyAlignment="1" applyProtection="1">
      <alignment/>
      <protection/>
    </xf>
    <xf numFmtId="1" fontId="25" fillId="0" borderId="0" xfId="0" applyNumberFormat="1" applyFont="1" applyFill="1" applyBorder="1" applyAlignment="1">
      <alignment horizontal="right"/>
    </xf>
    <xf numFmtId="171" fontId="25" fillId="0" borderId="0" xfId="0" applyNumberFormat="1" applyFont="1" applyFill="1" applyBorder="1" applyAlignment="1" applyProtection="1">
      <alignment horizontal="left"/>
      <protection locked="0"/>
    </xf>
    <xf numFmtId="174" fontId="25" fillId="0" borderId="0" xfId="0" applyNumberFormat="1" applyFont="1" applyFill="1" applyBorder="1" applyAlignment="1" applyProtection="1">
      <alignment horizontal="left"/>
      <protection locked="0"/>
    </xf>
    <xf numFmtId="171" fontId="25" fillId="0" borderId="0" xfId="0" applyNumberFormat="1" applyFont="1" applyFill="1" applyBorder="1" applyAlignment="1" applyProtection="1">
      <alignment/>
      <protection locked="0"/>
    </xf>
    <xf numFmtId="1" fontId="25" fillId="0" borderId="0" xfId="0" applyNumberFormat="1" applyFont="1" applyFill="1" applyBorder="1" applyAlignment="1" applyProtection="1">
      <alignment horizontal="left"/>
      <protection/>
    </xf>
    <xf numFmtId="1" fontId="25" fillId="0" borderId="0" xfId="1074" applyNumberFormat="1" applyFont="1" applyFill="1" applyBorder="1" applyAlignment="1">
      <alignment wrapText="1"/>
      <protection/>
    </xf>
    <xf numFmtId="165" fontId="25" fillId="0" borderId="0" xfId="1094" applyNumberFormat="1" applyFont="1" applyFill="1" applyBorder="1" applyAlignment="1" applyProtection="1">
      <alignment horizontal="left"/>
      <protection/>
    </xf>
    <xf numFmtId="1" fontId="25" fillId="0" borderId="0" xfId="1074" applyNumberFormat="1" applyFont="1" applyBorder="1">
      <alignment/>
      <protection/>
    </xf>
    <xf numFmtId="1" fontId="25" fillId="0" borderId="0" xfId="1074" applyNumberFormat="1" applyFont="1" applyFill="1" applyBorder="1">
      <alignment/>
      <protection/>
    </xf>
    <xf numFmtId="2" fontId="57" fillId="0" borderId="0" xfId="0" applyNumberFormat="1" applyFont="1" applyFill="1" applyBorder="1" applyAlignment="1">
      <alignment/>
    </xf>
    <xf numFmtId="1" fontId="25" fillId="0" borderId="12" xfId="0" applyNumberFormat="1" applyFont="1" applyFill="1" applyBorder="1" applyAlignment="1" applyProtection="1">
      <alignment horizontal="right"/>
      <protection/>
    </xf>
    <xf numFmtId="3" fontId="25" fillId="0" borderId="12" xfId="0" applyNumberFormat="1" applyFont="1" applyFill="1" applyBorder="1" applyAlignment="1">
      <alignment/>
    </xf>
    <xf numFmtId="3" fontId="25" fillId="0" borderId="12" xfId="0" applyNumberFormat="1" applyFont="1" applyFill="1" applyBorder="1" applyAlignment="1" applyProtection="1">
      <alignment/>
      <protection/>
    </xf>
    <xf numFmtId="3" fontId="22" fillId="0" borderId="12" xfId="0" applyNumberFormat="1" applyFont="1" applyFill="1" applyBorder="1" applyAlignment="1" applyProtection="1">
      <alignment/>
      <protection/>
    </xf>
    <xf numFmtId="1" fontId="25" fillId="24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>
      <alignment/>
    </xf>
    <xf numFmtId="1" fontId="25" fillId="0" borderId="0" xfId="0" applyNumberFormat="1" applyFont="1" applyBorder="1" applyAlignment="1">
      <alignment horizontal="right"/>
    </xf>
    <xf numFmtId="3" fontId="25" fillId="0" borderId="12" xfId="1094" applyNumberFormat="1" applyFont="1" applyFill="1" applyBorder="1" applyAlignment="1">
      <alignment/>
    </xf>
    <xf numFmtId="168" fontId="25" fillId="0" borderId="0" xfId="0" applyNumberFormat="1" applyFont="1" applyFill="1" applyAlignment="1" applyProtection="1">
      <alignment horizontal="right"/>
      <protection/>
    </xf>
    <xf numFmtId="170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3" fontId="25" fillId="0" borderId="0" xfId="0" applyNumberFormat="1" applyFont="1" applyAlignment="1" applyProtection="1">
      <alignment/>
      <protection locked="0"/>
    </xf>
    <xf numFmtId="168" fontId="25" fillId="0" borderId="0" xfId="0" applyNumberFormat="1" applyFont="1" applyAlignment="1" applyProtection="1">
      <alignment/>
      <protection locked="0"/>
    </xf>
    <xf numFmtId="1" fontId="25" fillId="0" borderId="0" xfId="0" applyNumberFormat="1" applyFont="1" applyAlignment="1" applyProtection="1">
      <alignment/>
      <protection locked="0"/>
    </xf>
    <xf numFmtId="170" fontId="25" fillId="0" borderId="0" xfId="1094" applyNumberFormat="1" applyFont="1" applyAlignment="1" applyProtection="1">
      <alignment/>
      <protection locked="0"/>
    </xf>
    <xf numFmtId="3" fontId="25" fillId="0" borderId="0" xfId="0" applyNumberFormat="1" applyFont="1" applyAlignment="1" applyProtection="1">
      <alignment/>
      <protection/>
    </xf>
    <xf numFmtId="3" fontId="25" fillId="0" borderId="0" xfId="0" applyNumberFormat="1" applyFont="1" applyFill="1" applyAlignment="1" applyProtection="1">
      <alignment horizontal="left"/>
      <protection/>
    </xf>
    <xf numFmtId="168" fontId="22" fillId="0" borderId="0" xfId="0" applyNumberFormat="1" applyFont="1" applyAlignment="1" applyProtection="1">
      <alignment horizontal="left"/>
      <protection locked="0"/>
    </xf>
    <xf numFmtId="3" fontId="25" fillId="0" borderId="0" xfId="0" applyNumberFormat="1" applyFont="1" applyAlignment="1" applyProtection="1">
      <alignment horizontal="left"/>
      <protection/>
    </xf>
    <xf numFmtId="3" fontId="22" fillId="0" borderId="0" xfId="0" applyNumberFormat="1" applyFont="1" applyAlignment="1" applyProtection="1">
      <alignment horizontal="left"/>
      <protection/>
    </xf>
    <xf numFmtId="3" fontId="25" fillId="24" borderId="0" xfId="0" applyNumberFormat="1" applyFont="1" applyFill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left"/>
      <protection/>
    </xf>
    <xf numFmtId="3" fontId="25" fillId="0" borderId="0" xfId="1094" applyNumberFormat="1" applyFont="1" applyFill="1" applyBorder="1" applyAlignment="1" applyProtection="1">
      <alignment horizontal="right"/>
      <protection/>
    </xf>
    <xf numFmtId="4" fontId="25" fillId="0" borderId="0" xfId="1094" applyNumberFormat="1" applyFont="1" applyFill="1" applyBorder="1" applyAlignment="1" applyProtection="1">
      <alignment horizontal="right"/>
      <protection/>
    </xf>
    <xf numFmtId="4" fontId="25" fillId="0" borderId="0" xfId="0" applyNumberFormat="1" applyFont="1" applyFill="1" applyBorder="1" applyAlignment="1" applyProtection="1">
      <alignment/>
      <protection locked="0"/>
    </xf>
    <xf numFmtId="2" fontId="25" fillId="0" borderId="0" xfId="0" applyNumberFormat="1" applyFont="1" applyFill="1" applyBorder="1" applyAlignment="1" applyProtection="1">
      <alignment horizontal="right"/>
      <protection/>
    </xf>
    <xf numFmtId="2" fontId="25" fillId="0" borderId="0" xfId="1094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 vertical="top" wrapText="1"/>
    </xf>
    <xf numFmtId="3" fontId="27" fillId="0" borderId="0" xfId="0" applyNumberFormat="1" applyFont="1" applyBorder="1" applyAlignment="1" quotePrefix="1">
      <alignment horizontal="center" vertical="top" wrapText="1"/>
    </xf>
    <xf numFmtId="3" fontId="25" fillId="0" borderId="0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/>
    </xf>
    <xf numFmtId="3" fontId="25" fillId="0" borderId="0" xfId="969" applyNumberFormat="1" applyFont="1">
      <alignment/>
      <protection/>
    </xf>
    <xf numFmtId="3" fontId="25" fillId="0" borderId="0" xfId="972" applyNumberFormat="1" applyFont="1">
      <alignment/>
      <protection/>
    </xf>
    <xf numFmtId="3" fontId="25" fillId="0" borderId="0" xfId="941" applyNumberFormat="1" applyFont="1" applyFill="1">
      <alignment/>
      <protection/>
    </xf>
    <xf numFmtId="3" fontId="25" fillId="0" borderId="0" xfId="1013" applyNumberFormat="1" applyFont="1" applyFill="1">
      <alignment/>
      <protection/>
    </xf>
    <xf numFmtId="3" fontId="25" fillId="0" borderId="0" xfId="990" applyNumberFormat="1" applyFont="1" applyFill="1">
      <alignment/>
      <protection/>
    </xf>
    <xf numFmtId="3" fontId="27" fillId="0" borderId="0" xfId="0" applyNumberFormat="1" applyFont="1" applyBorder="1" applyAlignment="1">
      <alignment horizontal="right"/>
    </xf>
    <xf numFmtId="3" fontId="25" fillId="0" borderId="0" xfId="990" applyNumberFormat="1" applyFont="1">
      <alignment/>
      <protection/>
    </xf>
    <xf numFmtId="3" fontId="25" fillId="0" borderId="0" xfId="975" applyNumberFormat="1" applyFont="1" applyFill="1">
      <alignment/>
      <protection/>
    </xf>
    <xf numFmtId="3" fontId="25" fillId="0" borderId="0" xfId="966" applyNumberFormat="1" applyFont="1">
      <alignment/>
      <protection/>
    </xf>
    <xf numFmtId="3" fontId="25" fillId="0" borderId="0" xfId="981" applyNumberFormat="1" applyFont="1">
      <alignment/>
      <protection/>
    </xf>
    <xf numFmtId="3" fontId="25" fillId="0" borderId="0" xfId="1013" applyNumberFormat="1" applyFont="1">
      <alignment/>
      <protection/>
    </xf>
    <xf numFmtId="3" fontId="25" fillId="0" borderId="0" xfId="981" applyNumberFormat="1" applyFont="1" applyFill="1">
      <alignment/>
      <protection/>
    </xf>
    <xf numFmtId="3" fontId="25" fillId="0" borderId="0" xfId="984" applyNumberFormat="1" applyFont="1" applyFill="1">
      <alignment/>
      <protection/>
    </xf>
    <xf numFmtId="3" fontId="25" fillId="0" borderId="0" xfId="987" applyNumberFormat="1" applyFont="1">
      <alignment/>
      <protection/>
    </xf>
    <xf numFmtId="3" fontId="25" fillId="0" borderId="0" xfId="972" applyNumberFormat="1" applyFont="1" applyFill="1">
      <alignment/>
      <protection/>
    </xf>
    <xf numFmtId="3" fontId="25" fillId="0" borderId="0" xfId="993" applyNumberFormat="1" applyFont="1" applyFill="1">
      <alignment/>
      <protection/>
    </xf>
    <xf numFmtId="3" fontId="25" fillId="0" borderId="0" xfId="975" applyNumberFormat="1" applyFont="1">
      <alignment/>
      <protection/>
    </xf>
    <xf numFmtId="3" fontId="25" fillId="0" borderId="0" xfId="966" applyNumberFormat="1" applyFont="1" applyFill="1">
      <alignment/>
      <protection/>
    </xf>
    <xf numFmtId="3" fontId="25" fillId="0" borderId="0" xfId="984" applyNumberFormat="1" applyFont="1">
      <alignment/>
      <protection/>
    </xf>
    <xf numFmtId="3" fontId="25" fillId="0" borderId="0" xfId="987" applyNumberFormat="1" applyFont="1" applyFill="1">
      <alignment/>
      <protection/>
    </xf>
    <xf numFmtId="3" fontId="25" fillId="0" borderId="0" xfId="943" applyNumberFormat="1" applyFont="1" applyFill="1">
      <alignment/>
      <protection/>
    </xf>
    <xf numFmtId="3" fontId="25" fillId="0" borderId="0" xfId="978" applyNumberFormat="1" applyFont="1" applyFill="1">
      <alignment/>
      <protection/>
    </xf>
    <xf numFmtId="3" fontId="25" fillId="0" borderId="0" xfId="993" applyNumberFormat="1" applyFont="1">
      <alignment/>
      <protection/>
    </xf>
    <xf numFmtId="3" fontId="25" fillId="0" borderId="0" xfId="946" applyNumberFormat="1" applyFont="1" applyFill="1">
      <alignment/>
      <protection/>
    </xf>
    <xf numFmtId="3" fontId="25" fillId="0" borderId="0" xfId="941" applyNumberFormat="1" applyFont="1">
      <alignment/>
      <protection/>
    </xf>
    <xf numFmtId="3" fontId="25" fillId="0" borderId="0" xfId="943" applyNumberFormat="1" applyFont="1">
      <alignment/>
      <protection/>
    </xf>
    <xf numFmtId="3" fontId="25" fillId="0" borderId="0" xfId="978" applyNumberFormat="1" applyFont="1">
      <alignment/>
      <protection/>
    </xf>
    <xf numFmtId="3" fontId="25" fillId="0" borderId="0" xfId="969" applyNumberFormat="1" applyFont="1" applyFill="1">
      <alignment/>
      <protection/>
    </xf>
    <xf numFmtId="3" fontId="25" fillId="0" borderId="0" xfId="946" applyNumberFormat="1" applyFont="1">
      <alignment/>
      <protection/>
    </xf>
    <xf numFmtId="3" fontId="27" fillId="0" borderId="0" xfId="0" applyNumberFormat="1" applyFont="1" applyBorder="1" applyAlignment="1">
      <alignment horizontal="center" vertical="top"/>
    </xf>
    <xf numFmtId="3" fontId="25" fillId="0" borderId="0" xfId="1016" applyNumberFormat="1" applyFont="1">
      <alignment/>
      <protection/>
    </xf>
    <xf numFmtId="3" fontId="28" fillId="0" borderId="0" xfId="0" applyNumberFormat="1" applyFont="1" applyBorder="1" applyAlignment="1">
      <alignment/>
    </xf>
    <xf numFmtId="3" fontId="25" fillId="0" borderId="0" xfId="1017" applyNumberFormat="1" applyFont="1">
      <alignment/>
      <protection/>
    </xf>
    <xf numFmtId="3" fontId="28" fillId="0" borderId="0" xfId="0" applyNumberFormat="1" applyFont="1" applyBorder="1" applyAlignment="1">
      <alignment wrapText="1"/>
    </xf>
    <xf numFmtId="179" fontId="25" fillId="0" borderId="0" xfId="1094" applyNumberFormat="1" applyFont="1" applyBorder="1" applyAlignment="1" applyProtection="1">
      <alignment horizontal="center"/>
      <protection locked="0"/>
    </xf>
    <xf numFmtId="178" fontId="25" fillId="0" borderId="0" xfId="0" applyNumberFormat="1" applyFont="1" applyAlignment="1">
      <alignment/>
    </xf>
    <xf numFmtId="178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178" fontId="27" fillId="0" borderId="0" xfId="0" applyNumberFormat="1" applyFont="1" applyAlignment="1">
      <alignment horizontal="right"/>
    </xf>
    <xf numFmtId="3" fontId="27" fillId="0" borderId="0" xfId="0" applyNumberFormat="1" applyFont="1" applyFill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9" fontId="27" fillId="0" borderId="0" xfId="0" applyNumberFormat="1" applyFont="1" applyAlignment="1">
      <alignment horizontal="center"/>
    </xf>
    <xf numFmtId="178" fontId="25" fillId="0" borderId="0" xfId="0" applyNumberFormat="1" applyFont="1" applyAlignment="1">
      <alignment horizontal="center"/>
    </xf>
    <xf numFmtId="178" fontId="25" fillId="0" borderId="0" xfId="0" applyNumberFormat="1" applyFont="1" applyAlignment="1">
      <alignment horizontal="left"/>
    </xf>
    <xf numFmtId="178" fontId="27" fillId="0" borderId="0" xfId="0" applyNumberFormat="1" applyFont="1" applyBorder="1" applyAlignment="1">
      <alignment horizontal="right"/>
    </xf>
    <xf numFmtId="3" fontId="27" fillId="0" borderId="0" xfId="0" applyNumberFormat="1" applyFont="1" applyFill="1" applyAlignment="1">
      <alignment horizontal="right"/>
    </xf>
    <xf numFmtId="49" fontId="32" fillId="0" borderId="0" xfId="0" applyNumberFormat="1" applyFont="1" applyBorder="1" applyAlignment="1">
      <alignment/>
    </xf>
    <xf numFmtId="0" fontId="25" fillId="0" borderId="0" xfId="0" applyNumberFormat="1" applyFont="1" applyFill="1" applyAlignment="1">
      <alignment/>
    </xf>
    <xf numFmtId="14" fontId="27" fillId="0" borderId="0" xfId="0" applyNumberFormat="1" applyFont="1" applyAlignment="1">
      <alignment horizontal="center"/>
    </xf>
    <xf numFmtId="0" fontId="27" fillId="0" borderId="0" xfId="0" applyNumberFormat="1" applyFont="1" applyFill="1" applyAlignment="1">
      <alignment horizontal="center"/>
    </xf>
    <xf numFmtId="178" fontId="25" fillId="0" borderId="0" xfId="0" applyNumberFormat="1" applyFont="1" applyBorder="1" applyAlignment="1">
      <alignment wrapText="1"/>
    </xf>
    <xf numFmtId="178" fontId="27" fillId="0" borderId="0" xfId="0" applyNumberFormat="1" applyFont="1" applyBorder="1" applyAlignment="1">
      <alignment/>
    </xf>
    <xf numFmtId="170" fontId="25" fillId="0" borderId="0" xfId="0" applyNumberFormat="1" applyFont="1" applyAlignment="1">
      <alignment horizontal="right"/>
    </xf>
    <xf numFmtId="3" fontId="27" fillId="0" borderId="0" xfId="1069" applyNumberFormat="1" applyFont="1" applyFill="1" applyBorder="1" applyAlignment="1">
      <alignment horizontal="center" vertical="top" wrapText="1"/>
      <protection/>
    </xf>
    <xf numFmtId="0" fontId="25" fillId="0" borderId="0" xfId="0" applyFont="1" applyBorder="1" applyAlignment="1">
      <alignment/>
    </xf>
    <xf numFmtId="168" fontId="55" fillId="0" borderId="0" xfId="0" applyNumberFormat="1" applyFont="1" applyAlignment="1">
      <alignment/>
    </xf>
    <xf numFmtId="3" fontId="25" fillId="0" borderId="0" xfId="0" applyNumberFormat="1" applyFont="1" applyAlignment="1">
      <alignment horizontal="center"/>
    </xf>
    <xf numFmtId="3" fontId="50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3" fillId="0" borderId="11" xfId="1071" applyNumberFormat="1" applyFont="1" applyFill="1" applyBorder="1" applyAlignment="1" applyProtection="1" quotePrefix="1">
      <alignment horizontal="center"/>
      <protection/>
    </xf>
    <xf numFmtId="3" fontId="27" fillId="0" borderId="0" xfId="1075" applyNumberFormat="1" applyFont="1" applyFill="1" applyBorder="1" applyAlignment="1">
      <alignment horizontal="center" vertical="top" wrapText="1"/>
      <protection/>
    </xf>
    <xf numFmtId="3" fontId="27" fillId="0" borderId="0" xfId="0" applyNumberFormat="1" applyFont="1" applyFill="1" applyBorder="1" applyAlignment="1" applyProtection="1">
      <alignment horizontal="center" vertical="top" wrapText="1"/>
      <protection/>
    </xf>
    <xf numFmtId="3" fontId="27" fillId="0" borderId="0" xfId="1076" applyNumberFormat="1" applyFont="1" applyFill="1" applyBorder="1" applyAlignment="1">
      <alignment horizontal="center" vertical="top" wrapText="1"/>
      <protection/>
    </xf>
    <xf numFmtId="3" fontId="27" fillId="0" borderId="0" xfId="1069" applyNumberFormat="1" applyFont="1" applyFill="1" applyBorder="1" applyAlignment="1">
      <alignment horizontal="center" vertical="top" wrapText="1"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Alignment="1" quotePrefix="1">
      <alignment horizontal="center"/>
    </xf>
    <xf numFmtId="168" fontId="25" fillId="0" borderId="0" xfId="0" applyNumberFormat="1" applyFont="1" applyFill="1" applyBorder="1" applyAlignment="1" applyProtection="1">
      <alignment horizontal="center"/>
      <protection locked="0"/>
    </xf>
    <xf numFmtId="3" fontId="27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Font="1" applyAlignment="1" quotePrefix="1">
      <alignment horizontal="center"/>
    </xf>
    <xf numFmtId="0" fontId="25" fillId="0" borderId="0" xfId="0" applyFont="1" applyBorder="1" applyAlignment="1">
      <alignment horizontal="center"/>
    </xf>
    <xf numFmtId="3" fontId="27" fillId="0" borderId="0" xfId="0" applyNumberFormat="1" applyFont="1" applyFill="1" applyBorder="1" applyAlignment="1">
      <alignment horizontal="center" vertical="top" wrapText="1"/>
    </xf>
    <xf numFmtId="3" fontId="27" fillId="0" borderId="0" xfId="0" applyNumberFormat="1" applyFont="1" applyFill="1" applyAlignment="1" applyProtection="1">
      <alignment horizontal="center" wrapText="1"/>
      <protection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68" fontId="50" fillId="0" borderId="0" xfId="0" applyNumberFormat="1" applyFont="1" applyFill="1" applyBorder="1" applyAlignment="1" applyProtection="1">
      <alignment horizontal="center"/>
      <protection locked="0"/>
    </xf>
    <xf numFmtId="3" fontId="27" fillId="0" borderId="0" xfId="0" applyNumberFormat="1" applyFont="1" applyFill="1" applyAlignment="1" applyProtection="1">
      <alignment horizontal="center" vertical="top" wrapText="1"/>
      <protection/>
    </xf>
    <xf numFmtId="0" fontId="22" fillId="0" borderId="0" xfId="0" applyFont="1" applyAlignment="1">
      <alignment horizontal="center" vertical="top" wrapText="1"/>
    </xf>
    <xf numFmtId="3" fontId="27" fillId="0" borderId="0" xfId="0" applyNumberFormat="1" applyFont="1" applyFill="1" applyAlignment="1" applyProtection="1">
      <alignment horizontal="center"/>
      <protection/>
    </xf>
    <xf numFmtId="3" fontId="27" fillId="0" borderId="0" xfId="0" applyNumberFormat="1" applyFont="1" applyBorder="1" applyAlignment="1" quotePrefix="1">
      <alignment horizontal="center" vertical="top" wrapText="1"/>
    </xf>
    <xf numFmtId="3" fontId="27" fillId="0" borderId="0" xfId="0" applyNumberFormat="1" applyFont="1" applyBorder="1" applyAlignment="1">
      <alignment horizontal="center" vertical="top" wrapText="1"/>
    </xf>
    <xf numFmtId="3" fontId="27" fillId="0" borderId="0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/>
    </xf>
    <xf numFmtId="178" fontId="27" fillId="0" borderId="0" xfId="0" applyNumberFormat="1" applyFont="1" applyAlignment="1">
      <alignment horizontal="center"/>
    </xf>
    <xf numFmtId="178" fontId="27" fillId="0" borderId="0" xfId="0" applyNumberFormat="1" applyFont="1" applyFill="1" applyAlignment="1">
      <alignment horizontal="center"/>
    </xf>
  </cellXfs>
  <cellStyles count="1105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1 5" xfId="22"/>
    <cellStyle name="20% - Accent2" xfId="23"/>
    <cellStyle name="20% - Accent2 2" xfId="24"/>
    <cellStyle name="20% - Accent2 2 2" xfId="25"/>
    <cellStyle name="20% - Accent2 3" xfId="26"/>
    <cellStyle name="20% - Accent2 3 2" xfId="27"/>
    <cellStyle name="20% - Accent2 4" xfId="28"/>
    <cellStyle name="20% - Accent2 4 2" xfId="29"/>
    <cellStyle name="20% - Accent2 5" xfId="30"/>
    <cellStyle name="20% - Accent3" xfId="31"/>
    <cellStyle name="20% - Accent3 2" xfId="32"/>
    <cellStyle name="20% - Accent3 2 2" xfId="33"/>
    <cellStyle name="20% - Accent3 3" xfId="34"/>
    <cellStyle name="20% - Accent3 3 2" xfId="35"/>
    <cellStyle name="20% - Accent3 4" xfId="36"/>
    <cellStyle name="20% - Accent3 4 2" xfId="37"/>
    <cellStyle name="20% - Accent3 5" xfId="38"/>
    <cellStyle name="20% - Accent4" xfId="39"/>
    <cellStyle name="20% - Accent4 2" xfId="40"/>
    <cellStyle name="20% - Accent4 2 2" xfId="41"/>
    <cellStyle name="20% - Accent4 3" xfId="42"/>
    <cellStyle name="20% - Accent4 3 2" xfId="43"/>
    <cellStyle name="20% - Accent4 4" xfId="44"/>
    <cellStyle name="20% - Accent4 4 2" xfId="45"/>
    <cellStyle name="20% - Accent4 5" xfId="46"/>
    <cellStyle name="20% - Accent5" xfId="47"/>
    <cellStyle name="20% - Accent5 2" xfId="48"/>
    <cellStyle name="20% - Accent5 2 2" xfId="49"/>
    <cellStyle name="20% - Accent5 3" xfId="50"/>
    <cellStyle name="20% - Accent5 3 2" xfId="51"/>
    <cellStyle name="20% - Accent5 4" xfId="52"/>
    <cellStyle name="20% - Accent5 4 2" xfId="53"/>
    <cellStyle name="20% - Accent5 5" xfId="54"/>
    <cellStyle name="20% - Accent6" xfId="55"/>
    <cellStyle name="20% - Accent6 2" xfId="56"/>
    <cellStyle name="20% - Accent6 2 2" xfId="57"/>
    <cellStyle name="20% - Accent6 3" xfId="58"/>
    <cellStyle name="20% - Accent6 3 2" xfId="59"/>
    <cellStyle name="20% - Accent6 4" xfId="60"/>
    <cellStyle name="20% - Accent6 4 2" xfId="61"/>
    <cellStyle name="20% - Accent6 5" xfId="62"/>
    <cellStyle name="40% - Accent1" xfId="63"/>
    <cellStyle name="40% - Accent1 2" xfId="64"/>
    <cellStyle name="40% - Accent1 2 2" xfId="65"/>
    <cellStyle name="40% - Accent1 3" xfId="66"/>
    <cellStyle name="40% - Accent1 3 2" xfId="67"/>
    <cellStyle name="40% - Accent1 4" xfId="68"/>
    <cellStyle name="40% - Accent1 4 2" xfId="69"/>
    <cellStyle name="40% - Accent1 5" xfId="70"/>
    <cellStyle name="40% - Accent2" xfId="71"/>
    <cellStyle name="40% - Accent2 2" xfId="72"/>
    <cellStyle name="40% - Accent2 2 2" xfId="73"/>
    <cellStyle name="40% - Accent2 3" xfId="74"/>
    <cellStyle name="40% - Accent2 3 2" xfId="75"/>
    <cellStyle name="40% - Accent2 4" xfId="76"/>
    <cellStyle name="40% - Accent2 4 2" xfId="77"/>
    <cellStyle name="40% - Accent2 5" xfId="78"/>
    <cellStyle name="40% - Accent3" xfId="79"/>
    <cellStyle name="40% - Accent3 2" xfId="80"/>
    <cellStyle name="40% - Accent3 2 2" xfId="81"/>
    <cellStyle name="40% - Accent3 3" xfId="82"/>
    <cellStyle name="40% - Accent3 3 2" xfId="83"/>
    <cellStyle name="40% - Accent3 4" xfId="84"/>
    <cellStyle name="40% - Accent3 4 2" xfId="85"/>
    <cellStyle name="40% - Accent3 5" xfId="86"/>
    <cellStyle name="40% - Accent4" xfId="87"/>
    <cellStyle name="40% - Accent4 2" xfId="88"/>
    <cellStyle name="40% - Accent4 2 2" xfId="89"/>
    <cellStyle name="40% - Accent4 3" xfId="90"/>
    <cellStyle name="40% - Accent4 3 2" xfId="91"/>
    <cellStyle name="40% - Accent4 4" xfId="92"/>
    <cellStyle name="40% - Accent4 4 2" xfId="93"/>
    <cellStyle name="40% - Accent4 5" xfId="94"/>
    <cellStyle name="40% - Accent5" xfId="95"/>
    <cellStyle name="40% - Accent5 2" xfId="96"/>
    <cellStyle name="40% - Accent5 2 2" xfId="97"/>
    <cellStyle name="40% - Accent5 3" xfId="98"/>
    <cellStyle name="40% - Accent5 3 2" xfId="99"/>
    <cellStyle name="40% - Accent5 4" xfId="100"/>
    <cellStyle name="40% - Accent5 4 2" xfId="101"/>
    <cellStyle name="40% - Accent5 5" xfId="102"/>
    <cellStyle name="40% - Accent6" xfId="103"/>
    <cellStyle name="40% - Accent6 2" xfId="104"/>
    <cellStyle name="40% - Accent6 2 2" xfId="105"/>
    <cellStyle name="40% - Accent6 3" xfId="106"/>
    <cellStyle name="40% - Accent6 3 2" xfId="107"/>
    <cellStyle name="40% - Accent6 4" xfId="108"/>
    <cellStyle name="40% - Accent6 4 2" xfId="109"/>
    <cellStyle name="40% - Accent6 5" xfId="110"/>
    <cellStyle name="60% - Accent1" xfId="111"/>
    <cellStyle name="60% - Accent1 2" xfId="112"/>
    <cellStyle name="60% - Accent1 2 2" xfId="113"/>
    <cellStyle name="60% - Accent1 3" xfId="114"/>
    <cellStyle name="60% - Accent1 3 2" xfId="115"/>
    <cellStyle name="60% - Accent1 4" xfId="116"/>
    <cellStyle name="60% - Accent1 4 2" xfId="117"/>
    <cellStyle name="60% - Accent1 5" xfId="118"/>
    <cellStyle name="60% - Accent2" xfId="119"/>
    <cellStyle name="60% - Accent2 2" xfId="120"/>
    <cellStyle name="60% - Accent2 2 2" xfId="121"/>
    <cellStyle name="60% - Accent2 3" xfId="122"/>
    <cellStyle name="60% - Accent2 3 2" xfId="123"/>
    <cellStyle name="60% - Accent2 4" xfId="124"/>
    <cellStyle name="60% - Accent2 4 2" xfId="125"/>
    <cellStyle name="60% - Accent2 5" xfId="126"/>
    <cellStyle name="60% - Accent3" xfId="127"/>
    <cellStyle name="60% - Accent3 2" xfId="128"/>
    <cellStyle name="60% - Accent3 2 2" xfId="129"/>
    <cellStyle name="60% - Accent3 3" xfId="130"/>
    <cellStyle name="60% - Accent3 3 2" xfId="131"/>
    <cellStyle name="60% - Accent3 4" xfId="132"/>
    <cellStyle name="60% - Accent3 4 2" xfId="133"/>
    <cellStyle name="60% - Accent3 5" xfId="134"/>
    <cellStyle name="60% - Accent4" xfId="135"/>
    <cellStyle name="60% - Accent4 2" xfId="136"/>
    <cellStyle name="60% - Accent4 2 2" xfId="137"/>
    <cellStyle name="60% - Accent4 3" xfId="138"/>
    <cellStyle name="60% - Accent4 3 2" xfId="139"/>
    <cellStyle name="60% - Accent4 4" xfId="140"/>
    <cellStyle name="60% - Accent4 4 2" xfId="141"/>
    <cellStyle name="60% - Accent4 5" xfId="142"/>
    <cellStyle name="60% - Accent5" xfId="143"/>
    <cellStyle name="60% - Accent5 2" xfId="144"/>
    <cellStyle name="60% - Accent5 2 2" xfId="145"/>
    <cellStyle name="60% - Accent5 3" xfId="146"/>
    <cellStyle name="60% - Accent5 3 2" xfId="147"/>
    <cellStyle name="60% - Accent5 4" xfId="148"/>
    <cellStyle name="60% - Accent5 4 2" xfId="149"/>
    <cellStyle name="60% - Accent5 5" xfId="150"/>
    <cellStyle name="60% - Accent6" xfId="151"/>
    <cellStyle name="60% - Accent6 2" xfId="152"/>
    <cellStyle name="60% - Accent6 2 2" xfId="153"/>
    <cellStyle name="60% - Accent6 3" xfId="154"/>
    <cellStyle name="60% - Accent6 3 2" xfId="155"/>
    <cellStyle name="60% - Accent6 4" xfId="156"/>
    <cellStyle name="60% - Accent6 4 2" xfId="157"/>
    <cellStyle name="60% - Accent6 5" xfId="158"/>
    <cellStyle name="Accent1" xfId="159"/>
    <cellStyle name="Accent1 2" xfId="160"/>
    <cellStyle name="Accent1 2 2" xfId="161"/>
    <cellStyle name="Accent1 3" xfId="162"/>
    <cellStyle name="Accent1 3 2" xfId="163"/>
    <cellStyle name="Accent1 4" xfId="164"/>
    <cellStyle name="Accent1 4 2" xfId="165"/>
    <cellStyle name="Accent1 5" xfId="166"/>
    <cellStyle name="Accent2" xfId="167"/>
    <cellStyle name="Accent2 2" xfId="168"/>
    <cellStyle name="Accent2 2 2" xfId="169"/>
    <cellStyle name="Accent2 3" xfId="170"/>
    <cellStyle name="Accent2 3 2" xfId="171"/>
    <cellStyle name="Accent2 4" xfId="172"/>
    <cellStyle name="Accent2 4 2" xfId="173"/>
    <cellStyle name="Accent2 5" xfId="174"/>
    <cellStyle name="Accent3" xfId="175"/>
    <cellStyle name="Accent3 2" xfId="176"/>
    <cellStyle name="Accent3 2 2" xfId="177"/>
    <cellStyle name="Accent3 3" xfId="178"/>
    <cellStyle name="Accent3 3 2" xfId="179"/>
    <cellStyle name="Accent3 4" xfId="180"/>
    <cellStyle name="Accent3 4 2" xfId="181"/>
    <cellStyle name="Accent3 5" xfId="182"/>
    <cellStyle name="Accent4" xfId="183"/>
    <cellStyle name="Accent4 2" xfId="184"/>
    <cellStyle name="Accent4 2 2" xfId="185"/>
    <cellStyle name="Accent4 3" xfId="186"/>
    <cellStyle name="Accent4 3 2" xfId="187"/>
    <cellStyle name="Accent4 4" xfId="188"/>
    <cellStyle name="Accent4 4 2" xfId="189"/>
    <cellStyle name="Accent4 5" xfId="190"/>
    <cellStyle name="Accent5" xfId="191"/>
    <cellStyle name="Accent5 2" xfId="192"/>
    <cellStyle name="Accent5 2 2" xfId="193"/>
    <cellStyle name="Accent5 3" xfId="194"/>
    <cellStyle name="Accent5 3 2" xfId="195"/>
    <cellStyle name="Accent5 4" xfId="196"/>
    <cellStyle name="Accent5 4 2" xfId="197"/>
    <cellStyle name="Accent5 5" xfId="198"/>
    <cellStyle name="Accent6" xfId="199"/>
    <cellStyle name="Accent6 2" xfId="200"/>
    <cellStyle name="Accent6 2 2" xfId="201"/>
    <cellStyle name="Accent6 3" xfId="202"/>
    <cellStyle name="Accent6 3 2" xfId="203"/>
    <cellStyle name="Accent6 4" xfId="204"/>
    <cellStyle name="Accent6 4 2" xfId="205"/>
    <cellStyle name="Accent6 5" xfId="206"/>
    <cellStyle name="Bad" xfId="207"/>
    <cellStyle name="Bad 2" xfId="208"/>
    <cellStyle name="Bad 2 2" xfId="209"/>
    <cellStyle name="Bad 3" xfId="210"/>
    <cellStyle name="Bad 3 2" xfId="211"/>
    <cellStyle name="Bad 4" xfId="212"/>
    <cellStyle name="Bad 4 2" xfId="213"/>
    <cellStyle name="Bad 5" xfId="214"/>
    <cellStyle name="Calculation" xfId="215"/>
    <cellStyle name="Calculation 2" xfId="216"/>
    <cellStyle name="Calculation 2 2" xfId="217"/>
    <cellStyle name="Calculation 3" xfId="218"/>
    <cellStyle name="Calculation 3 2" xfId="219"/>
    <cellStyle name="Calculation 4" xfId="220"/>
    <cellStyle name="Calculation 4 2" xfId="221"/>
    <cellStyle name="Calculation 5" xfId="222"/>
    <cellStyle name="Check Cell" xfId="223"/>
    <cellStyle name="Check Cell 2" xfId="224"/>
    <cellStyle name="Check Cell 2 2" xfId="225"/>
    <cellStyle name="Check Cell 3" xfId="226"/>
    <cellStyle name="Check Cell 3 2" xfId="227"/>
    <cellStyle name="Check Cell 4" xfId="228"/>
    <cellStyle name="Check Cell 4 2" xfId="229"/>
    <cellStyle name="Check Cell 5" xfId="230"/>
    <cellStyle name="Comma" xfId="231"/>
    <cellStyle name="Comma [0]" xfId="232"/>
    <cellStyle name="Currency" xfId="233"/>
    <cellStyle name="Currency [0]" xfId="234"/>
    <cellStyle name="Explanatory Text" xfId="235"/>
    <cellStyle name="Explanatory Text 2" xfId="236"/>
    <cellStyle name="Explanatory Text 2 2" xfId="237"/>
    <cellStyle name="Explanatory Text 3" xfId="238"/>
    <cellStyle name="Explanatory Text 3 2" xfId="239"/>
    <cellStyle name="Explanatory Text 4" xfId="240"/>
    <cellStyle name="Explanatory Text 4 2" xfId="241"/>
    <cellStyle name="Explanatory Text 5" xfId="242"/>
    <cellStyle name="Followed Hyperlink" xfId="243"/>
    <cellStyle name="Good" xfId="244"/>
    <cellStyle name="Good 2" xfId="245"/>
    <cellStyle name="Good 2 2" xfId="246"/>
    <cellStyle name="Good 3" xfId="247"/>
    <cellStyle name="Good 3 2" xfId="248"/>
    <cellStyle name="Good 4" xfId="249"/>
    <cellStyle name="Good 4 2" xfId="250"/>
    <cellStyle name="Good 5" xfId="251"/>
    <cellStyle name="Heading 1" xfId="252"/>
    <cellStyle name="Heading 1 2" xfId="253"/>
    <cellStyle name="Heading 1 2 2" xfId="254"/>
    <cellStyle name="Heading 1 3" xfId="255"/>
    <cellStyle name="Heading 1 3 2" xfId="256"/>
    <cellStyle name="Heading 1 4" xfId="257"/>
    <cellStyle name="Heading 1 4 2" xfId="258"/>
    <cellStyle name="Heading 1 5" xfId="259"/>
    <cellStyle name="Heading 2" xfId="260"/>
    <cellStyle name="Heading 2 2" xfId="261"/>
    <cellStyle name="Heading 2 2 2" xfId="262"/>
    <cellStyle name="Heading 2 3" xfId="263"/>
    <cellStyle name="Heading 2 3 2" xfId="264"/>
    <cellStyle name="Heading 2 4" xfId="265"/>
    <cellStyle name="Heading 2 4 2" xfId="266"/>
    <cellStyle name="Heading 2 5" xfId="267"/>
    <cellStyle name="Heading 3" xfId="268"/>
    <cellStyle name="Heading 3 2" xfId="269"/>
    <cellStyle name="Heading 3 2 2" xfId="270"/>
    <cellStyle name="Heading 3 3" xfId="271"/>
    <cellStyle name="Heading 3 3 2" xfId="272"/>
    <cellStyle name="Heading 3 4" xfId="273"/>
    <cellStyle name="Heading 3 4 2" xfId="274"/>
    <cellStyle name="Heading 3 5" xfId="275"/>
    <cellStyle name="Heading 4" xfId="276"/>
    <cellStyle name="Heading 4 2" xfId="277"/>
    <cellStyle name="Heading 4 2 2" xfId="278"/>
    <cellStyle name="Heading 4 3" xfId="279"/>
    <cellStyle name="Heading 4 3 2" xfId="280"/>
    <cellStyle name="Heading 4 4" xfId="281"/>
    <cellStyle name="Heading 4 4 2" xfId="282"/>
    <cellStyle name="Heading 4 5" xfId="283"/>
    <cellStyle name="Hyperlink" xfId="284"/>
    <cellStyle name="Input" xfId="285"/>
    <cellStyle name="Input 2" xfId="286"/>
    <cellStyle name="Input 2 2" xfId="287"/>
    <cellStyle name="Input 3" xfId="288"/>
    <cellStyle name="Input 3 2" xfId="289"/>
    <cellStyle name="Input 4" xfId="290"/>
    <cellStyle name="Input 4 2" xfId="291"/>
    <cellStyle name="Input 5" xfId="292"/>
    <cellStyle name="Linked Cell" xfId="293"/>
    <cellStyle name="Linked Cell 2" xfId="294"/>
    <cellStyle name="Linked Cell 2 2" xfId="295"/>
    <cellStyle name="Linked Cell 3" xfId="296"/>
    <cellStyle name="Linked Cell 3 2" xfId="297"/>
    <cellStyle name="Linked Cell 4" xfId="298"/>
    <cellStyle name="Linked Cell 4 2" xfId="299"/>
    <cellStyle name="Linked Cell 5" xfId="300"/>
    <cellStyle name="Neutral" xfId="301"/>
    <cellStyle name="Neutral 2" xfId="302"/>
    <cellStyle name="Neutral 2 2" xfId="303"/>
    <cellStyle name="Neutral 3" xfId="304"/>
    <cellStyle name="Neutral 3 2" xfId="305"/>
    <cellStyle name="Neutral 4" xfId="306"/>
    <cellStyle name="Neutral 4 2" xfId="307"/>
    <cellStyle name="Neutral 5" xfId="308"/>
    <cellStyle name="Normal 10" xfId="309"/>
    <cellStyle name="Normal 10 10" xfId="310"/>
    <cellStyle name="Normal 10 11" xfId="311"/>
    <cellStyle name="Normal 10 12" xfId="312"/>
    <cellStyle name="Normal 10 13" xfId="313"/>
    <cellStyle name="Normal 10 14" xfId="314"/>
    <cellStyle name="Normal 10 15" xfId="315"/>
    <cellStyle name="Normal 10 16" xfId="316"/>
    <cellStyle name="Normal 10 17" xfId="317"/>
    <cellStyle name="Normal 10 2" xfId="318"/>
    <cellStyle name="Normal 10 3" xfId="319"/>
    <cellStyle name="Normal 10 4" xfId="320"/>
    <cellStyle name="Normal 10 5" xfId="321"/>
    <cellStyle name="Normal 10 6" xfId="322"/>
    <cellStyle name="Normal 10 7" xfId="323"/>
    <cellStyle name="Normal 10 8" xfId="324"/>
    <cellStyle name="Normal 10 9" xfId="325"/>
    <cellStyle name="Normal 11" xfId="326"/>
    <cellStyle name="Normal 11 10" xfId="327"/>
    <cellStyle name="Normal 11 11" xfId="328"/>
    <cellStyle name="Normal 11 12" xfId="329"/>
    <cellStyle name="Normal 11 13" xfId="330"/>
    <cellStyle name="Normal 11 14" xfId="331"/>
    <cellStyle name="Normal 11 15" xfId="332"/>
    <cellStyle name="Normal 11 16" xfId="333"/>
    <cellStyle name="Normal 11 17" xfId="334"/>
    <cellStyle name="Normal 11 2" xfId="335"/>
    <cellStyle name="Normal 11 3" xfId="336"/>
    <cellStyle name="Normal 11 4" xfId="337"/>
    <cellStyle name="Normal 11 5" xfId="338"/>
    <cellStyle name="Normal 11 6" xfId="339"/>
    <cellStyle name="Normal 11 7" xfId="340"/>
    <cellStyle name="Normal 11 8" xfId="341"/>
    <cellStyle name="Normal 11 9" xfId="342"/>
    <cellStyle name="Normal 12" xfId="343"/>
    <cellStyle name="Normal 12 10" xfId="344"/>
    <cellStyle name="Normal 12 11" xfId="345"/>
    <cellStyle name="Normal 12 12" xfId="346"/>
    <cellStyle name="Normal 12 13" xfId="347"/>
    <cellStyle name="Normal 12 14" xfId="348"/>
    <cellStyle name="Normal 12 15" xfId="349"/>
    <cellStyle name="Normal 12 16" xfId="350"/>
    <cellStyle name="Normal 12 17" xfId="351"/>
    <cellStyle name="Normal 12 2" xfId="352"/>
    <cellStyle name="Normal 12 3" xfId="353"/>
    <cellStyle name="Normal 12 4" xfId="354"/>
    <cellStyle name="Normal 12 5" xfId="355"/>
    <cellStyle name="Normal 12 6" xfId="356"/>
    <cellStyle name="Normal 12 7" xfId="357"/>
    <cellStyle name="Normal 12 8" xfId="358"/>
    <cellStyle name="Normal 12 9" xfId="359"/>
    <cellStyle name="Normal 13" xfId="360"/>
    <cellStyle name="Normal 13 10" xfId="361"/>
    <cellStyle name="Normal 13 11" xfId="362"/>
    <cellStyle name="Normal 13 12" xfId="363"/>
    <cellStyle name="Normal 13 13" xfId="364"/>
    <cellStyle name="Normal 13 14" xfId="365"/>
    <cellStyle name="Normal 13 15" xfId="366"/>
    <cellStyle name="Normal 13 16" xfId="367"/>
    <cellStyle name="Normal 13 17" xfId="368"/>
    <cellStyle name="Normal 13 2" xfId="369"/>
    <cellStyle name="Normal 13 3" xfId="370"/>
    <cellStyle name="Normal 13 4" xfId="371"/>
    <cellStyle name="Normal 13 5" xfId="372"/>
    <cellStyle name="Normal 13 6" xfId="373"/>
    <cellStyle name="Normal 13 7" xfId="374"/>
    <cellStyle name="Normal 13 8" xfId="375"/>
    <cellStyle name="Normal 13 9" xfId="376"/>
    <cellStyle name="Normal 14" xfId="377"/>
    <cellStyle name="Normal 14 10" xfId="378"/>
    <cellStyle name="Normal 14 11" xfId="379"/>
    <cellStyle name="Normal 14 12" xfId="380"/>
    <cellStyle name="Normal 14 13" xfId="381"/>
    <cellStyle name="Normal 14 14" xfId="382"/>
    <cellStyle name="Normal 14 15" xfId="383"/>
    <cellStyle name="Normal 14 16" xfId="384"/>
    <cellStyle name="Normal 14 17" xfId="385"/>
    <cellStyle name="Normal 14 2" xfId="386"/>
    <cellStyle name="Normal 14 3" xfId="387"/>
    <cellStyle name="Normal 14 4" xfId="388"/>
    <cellStyle name="Normal 14 5" xfId="389"/>
    <cellStyle name="Normal 14 6" xfId="390"/>
    <cellStyle name="Normal 14 7" xfId="391"/>
    <cellStyle name="Normal 14 8" xfId="392"/>
    <cellStyle name="Normal 14 9" xfId="393"/>
    <cellStyle name="Normal 15" xfId="394"/>
    <cellStyle name="Normal 15 10" xfId="395"/>
    <cellStyle name="Normal 15 11" xfId="396"/>
    <cellStyle name="Normal 15 12" xfId="397"/>
    <cellStyle name="Normal 15 13" xfId="398"/>
    <cellStyle name="Normal 15 14" xfId="399"/>
    <cellStyle name="Normal 15 15" xfId="400"/>
    <cellStyle name="Normal 15 16" xfId="401"/>
    <cellStyle name="Normal 15 17" xfId="402"/>
    <cellStyle name="Normal 15 2" xfId="403"/>
    <cellStyle name="Normal 15 3" xfId="404"/>
    <cellStyle name="Normal 15 4" xfId="405"/>
    <cellStyle name="Normal 15 5" xfId="406"/>
    <cellStyle name="Normal 15 6" xfId="407"/>
    <cellStyle name="Normal 15 7" xfId="408"/>
    <cellStyle name="Normal 15 8" xfId="409"/>
    <cellStyle name="Normal 15 9" xfId="410"/>
    <cellStyle name="Normal 16" xfId="411"/>
    <cellStyle name="Normal 16 10" xfId="412"/>
    <cellStyle name="Normal 16 11" xfId="413"/>
    <cellStyle name="Normal 16 12" xfId="414"/>
    <cellStyle name="Normal 16 13" xfId="415"/>
    <cellStyle name="Normal 16 14" xfId="416"/>
    <cellStyle name="Normal 16 15" xfId="417"/>
    <cellStyle name="Normal 16 16" xfId="418"/>
    <cellStyle name="Normal 16 17" xfId="419"/>
    <cellStyle name="Normal 16 2" xfId="420"/>
    <cellStyle name="Normal 16 3" xfId="421"/>
    <cellStyle name="Normal 16 4" xfId="422"/>
    <cellStyle name="Normal 16 5" xfId="423"/>
    <cellStyle name="Normal 16 6" xfId="424"/>
    <cellStyle name="Normal 16 7" xfId="425"/>
    <cellStyle name="Normal 16 8" xfId="426"/>
    <cellStyle name="Normal 16 9" xfId="427"/>
    <cellStyle name="Normal 17" xfId="428"/>
    <cellStyle name="Normal 17 10" xfId="429"/>
    <cellStyle name="Normal 17 11" xfId="430"/>
    <cellStyle name="Normal 17 12" xfId="431"/>
    <cellStyle name="Normal 17 13" xfId="432"/>
    <cellStyle name="Normal 17 14" xfId="433"/>
    <cellStyle name="Normal 17 15" xfId="434"/>
    <cellStyle name="Normal 17 16" xfId="435"/>
    <cellStyle name="Normal 17 17" xfId="436"/>
    <cellStyle name="Normal 17 2" xfId="437"/>
    <cellStyle name="Normal 17 3" xfId="438"/>
    <cellStyle name="Normal 17 4" xfId="439"/>
    <cellStyle name="Normal 17 5" xfId="440"/>
    <cellStyle name="Normal 17 6" xfId="441"/>
    <cellStyle name="Normal 17 7" xfId="442"/>
    <cellStyle name="Normal 17 8" xfId="443"/>
    <cellStyle name="Normal 17 9" xfId="444"/>
    <cellStyle name="Normal 18" xfId="445"/>
    <cellStyle name="Normal 18 10" xfId="446"/>
    <cellStyle name="Normal 18 11" xfId="447"/>
    <cellStyle name="Normal 18 12" xfId="448"/>
    <cellStyle name="Normal 18 13" xfId="449"/>
    <cellStyle name="Normal 18 14" xfId="450"/>
    <cellStyle name="Normal 18 15" xfId="451"/>
    <cellStyle name="Normal 18 16" xfId="452"/>
    <cellStyle name="Normal 18 17" xfId="453"/>
    <cellStyle name="Normal 18 2" xfId="454"/>
    <cellStyle name="Normal 18 3" xfId="455"/>
    <cellStyle name="Normal 18 4" xfId="456"/>
    <cellStyle name="Normal 18 5" xfId="457"/>
    <cellStyle name="Normal 18 6" xfId="458"/>
    <cellStyle name="Normal 18 7" xfId="459"/>
    <cellStyle name="Normal 18 8" xfId="460"/>
    <cellStyle name="Normal 18 9" xfId="461"/>
    <cellStyle name="Normal 19" xfId="462"/>
    <cellStyle name="Normal 19 10" xfId="463"/>
    <cellStyle name="Normal 19 11" xfId="464"/>
    <cellStyle name="Normal 19 12" xfId="465"/>
    <cellStyle name="Normal 19 13" xfId="466"/>
    <cellStyle name="Normal 19 14" xfId="467"/>
    <cellStyle name="Normal 19 15" xfId="468"/>
    <cellStyle name="Normal 19 16" xfId="469"/>
    <cellStyle name="Normal 19 17" xfId="470"/>
    <cellStyle name="Normal 19 2" xfId="471"/>
    <cellStyle name="Normal 19 3" xfId="472"/>
    <cellStyle name="Normal 19 4" xfId="473"/>
    <cellStyle name="Normal 19 5" xfId="474"/>
    <cellStyle name="Normal 19 6" xfId="475"/>
    <cellStyle name="Normal 19 7" xfId="476"/>
    <cellStyle name="Normal 19 8" xfId="477"/>
    <cellStyle name="Normal 19 9" xfId="478"/>
    <cellStyle name="Normal 2" xfId="479"/>
    <cellStyle name="Normal 20" xfId="480"/>
    <cellStyle name="Normal 20 10" xfId="481"/>
    <cellStyle name="Normal 20 11" xfId="482"/>
    <cellStyle name="Normal 20 12" xfId="483"/>
    <cellStyle name="Normal 20 13" xfId="484"/>
    <cellStyle name="Normal 20 14" xfId="485"/>
    <cellStyle name="Normal 20 15" xfId="486"/>
    <cellStyle name="Normal 20 16" xfId="487"/>
    <cellStyle name="Normal 20 17" xfId="488"/>
    <cellStyle name="Normal 20 2" xfId="489"/>
    <cellStyle name="Normal 20 3" xfId="490"/>
    <cellStyle name="Normal 20 4" xfId="491"/>
    <cellStyle name="Normal 20 5" xfId="492"/>
    <cellStyle name="Normal 20 6" xfId="493"/>
    <cellStyle name="Normal 20 7" xfId="494"/>
    <cellStyle name="Normal 20 8" xfId="495"/>
    <cellStyle name="Normal 20 9" xfId="496"/>
    <cellStyle name="Normal 21" xfId="497"/>
    <cellStyle name="Normal 21 10" xfId="498"/>
    <cellStyle name="Normal 21 11" xfId="499"/>
    <cellStyle name="Normal 21 12" xfId="500"/>
    <cellStyle name="Normal 21 13" xfId="501"/>
    <cellStyle name="Normal 21 14" xfId="502"/>
    <cellStyle name="Normal 21 15" xfId="503"/>
    <cellStyle name="Normal 21 16" xfId="504"/>
    <cellStyle name="Normal 21 17" xfId="505"/>
    <cellStyle name="Normal 21 2" xfId="506"/>
    <cellStyle name="Normal 21 3" xfId="507"/>
    <cellStyle name="Normal 21 4" xfId="508"/>
    <cellStyle name="Normal 21 5" xfId="509"/>
    <cellStyle name="Normal 21 6" xfId="510"/>
    <cellStyle name="Normal 21 7" xfId="511"/>
    <cellStyle name="Normal 21 8" xfId="512"/>
    <cellStyle name="Normal 21 9" xfId="513"/>
    <cellStyle name="Normal 22" xfId="514"/>
    <cellStyle name="Normal 22 10" xfId="515"/>
    <cellStyle name="Normal 22 11" xfId="516"/>
    <cellStyle name="Normal 22 12" xfId="517"/>
    <cellStyle name="Normal 22 13" xfId="518"/>
    <cellStyle name="Normal 22 14" xfId="519"/>
    <cellStyle name="Normal 22 15" xfId="520"/>
    <cellStyle name="Normal 22 16" xfId="521"/>
    <cellStyle name="Normal 22 17" xfId="522"/>
    <cellStyle name="Normal 22 2" xfId="523"/>
    <cellStyle name="Normal 22 3" xfId="524"/>
    <cellStyle name="Normal 22 4" xfId="525"/>
    <cellStyle name="Normal 22 5" xfId="526"/>
    <cellStyle name="Normal 22 6" xfId="527"/>
    <cellStyle name="Normal 22 7" xfId="528"/>
    <cellStyle name="Normal 22 8" xfId="529"/>
    <cellStyle name="Normal 22 9" xfId="530"/>
    <cellStyle name="Normal 23" xfId="531"/>
    <cellStyle name="Normal 23 10" xfId="532"/>
    <cellStyle name="Normal 23 11" xfId="533"/>
    <cellStyle name="Normal 23 12" xfId="534"/>
    <cellStyle name="Normal 23 13" xfId="535"/>
    <cellStyle name="Normal 23 14" xfId="536"/>
    <cellStyle name="Normal 23 15" xfId="537"/>
    <cellStyle name="Normal 23 16" xfId="538"/>
    <cellStyle name="Normal 23 17" xfId="539"/>
    <cellStyle name="Normal 23 2" xfId="540"/>
    <cellStyle name="Normal 23 3" xfId="541"/>
    <cellStyle name="Normal 23 4" xfId="542"/>
    <cellStyle name="Normal 23 5" xfId="543"/>
    <cellStyle name="Normal 23 6" xfId="544"/>
    <cellStyle name="Normal 23 7" xfId="545"/>
    <cellStyle name="Normal 23 8" xfId="546"/>
    <cellStyle name="Normal 23 9" xfId="547"/>
    <cellStyle name="Normal 24" xfId="548"/>
    <cellStyle name="Normal 24 10" xfId="549"/>
    <cellStyle name="Normal 24 11" xfId="550"/>
    <cellStyle name="Normal 24 12" xfId="551"/>
    <cellStyle name="Normal 24 13" xfId="552"/>
    <cellStyle name="Normal 24 14" xfId="553"/>
    <cellStyle name="Normal 24 15" xfId="554"/>
    <cellStyle name="Normal 24 16" xfId="555"/>
    <cellStyle name="Normal 24 17" xfId="556"/>
    <cellStyle name="Normal 24 2" xfId="557"/>
    <cellStyle name="Normal 24 3" xfId="558"/>
    <cellStyle name="Normal 24 4" xfId="559"/>
    <cellStyle name="Normal 24 5" xfId="560"/>
    <cellStyle name="Normal 24 6" xfId="561"/>
    <cellStyle name="Normal 24 7" xfId="562"/>
    <cellStyle name="Normal 24 8" xfId="563"/>
    <cellStyle name="Normal 24 9" xfId="564"/>
    <cellStyle name="Normal 25" xfId="565"/>
    <cellStyle name="Normal 25 10" xfId="566"/>
    <cellStyle name="Normal 25 11" xfId="567"/>
    <cellStyle name="Normal 25 12" xfId="568"/>
    <cellStyle name="Normal 25 13" xfId="569"/>
    <cellStyle name="Normal 25 14" xfId="570"/>
    <cellStyle name="Normal 25 15" xfId="571"/>
    <cellStyle name="Normal 25 16" xfId="572"/>
    <cellStyle name="Normal 25 17" xfId="573"/>
    <cellStyle name="Normal 25 2" xfId="574"/>
    <cellStyle name="Normal 25 3" xfId="575"/>
    <cellStyle name="Normal 25 4" xfId="576"/>
    <cellStyle name="Normal 25 5" xfId="577"/>
    <cellStyle name="Normal 25 6" xfId="578"/>
    <cellStyle name="Normal 25 7" xfId="579"/>
    <cellStyle name="Normal 25 8" xfId="580"/>
    <cellStyle name="Normal 25 9" xfId="581"/>
    <cellStyle name="Normal 26" xfId="582"/>
    <cellStyle name="Normal 26 10" xfId="583"/>
    <cellStyle name="Normal 26 11" xfId="584"/>
    <cellStyle name="Normal 26 12" xfId="585"/>
    <cellStyle name="Normal 26 13" xfId="586"/>
    <cellStyle name="Normal 26 14" xfId="587"/>
    <cellStyle name="Normal 26 15" xfId="588"/>
    <cellStyle name="Normal 26 16" xfId="589"/>
    <cellStyle name="Normal 26 17" xfId="590"/>
    <cellStyle name="Normal 26 2" xfId="591"/>
    <cellStyle name="Normal 26 3" xfId="592"/>
    <cellStyle name="Normal 26 4" xfId="593"/>
    <cellStyle name="Normal 26 5" xfId="594"/>
    <cellStyle name="Normal 26 6" xfId="595"/>
    <cellStyle name="Normal 26 7" xfId="596"/>
    <cellStyle name="Normal 26 8" xfId="597"/>
    <cellStyle name="Normal 26 9" xfId="598"/>
    <cellStyle name="Normal 27" xfId="599"/>
    <cellStyle name="Normal 27 10" xfId="600"/>
    <cellStyle name="Normal 27 11" xfId="601"/>
    <cellStyle name="Normal 27 12" xfId="602"/>
    <cellStyle name="Normal 27 13" xfId="603"/>
    <cellStyle name="Normal 27 14" xfId="604"/>
    <cellStyle name="Normal 27 15" xfId="605"/>
    <cellStyle name="Normal 27 16" xfId="606"/>
    <cellStyle name="Normal 27 17" xfId="607"/>
    <cellStyle name="Normal 27 2" xfId="608"/>
    <cellStyle name="Normal 27 3" xfId="609"/>
    <cellStyle name="Normal 27 4" xfId="610"/>
    <cellStyle name="Normal 27 5" xfId="611"/>
    <cellStyle name="Normal 27 6" xfId="612"/>
    <cellStyle name="Normal 27 7" xfId="613"/>
    <cellStyle name="Normal 27 8" xfId="614"/>
    <cellStyle name="Normal 27 9" xfId="615"/>
    <cellStyle name="Normal 28" xfId="616"/>
    <cellStyle name="Normal 28 10" xfId="617"/>
    <cellStyle name="Normal 28 11" xfId="618"/>
    <cellStyle name="Normal 28 12" xfId="619"/>
    <cellStyle name="Normal 28 13" xfId="620"/>
    <cellStyle name="Normal 28 14" xfId="621"/>
    <cellStyle name="Normal 28 15" xfId="622"/>
    <cellStyle name="Normal 28 16" xfId="623"/>
    <cellStyle name="Normal 28 17" xfId="624"/>
    <cellStyle name="Normal 28 2" xfId="625"/>
    <cellStyle name="Normal 28 3" xfId="626"/>
    <cellStyle name="Normal 28 4" xfId="627"/>
    <cellStyle name="Normal 28 5" xfId="628"/>
    <cellStyle name="Normal 28 6" xfId="629"/>
    <cellStyle name="Normal 28 7" xfId="630"/>
    <cellStyle name="Normal 28 8" xfId="631"/>
    <cellStyle name="Normal 28 9" xfId="632"/>
    <cellStyle name="Normal 29" xfId="633"/>
    <cellStyle name="Normal 29 10" xfId="634"/>
    <cellStyle name="Normal 29 11" xfId="635"/>
    <cellStyle name="Normal 29 12" xfId="636"/>
    <cellStyle name="Normal 29 13" xfId="637"/>
    <cellStyle name="Normal 29 14" xfId="638"/>
    <cellStyle name="Normal 29 15" xfId="639"/>
    <cellStyle name="Normal 29 16" xfId="640"/>
    <cellStyle name="Normal 29 17" xfId="641"/>
    <cellStyle name="Normal 29 2" xfId="642"/>
    <cellStyle name="Normal 29 3" xfId="643"/>
    <cellStyle name="Normal 29 4" xfId="644"/>
    <cellStyle name="Normal 29 5" xfId="645"/>
    <cellStyle name="Normal 29 6" xfId="646"/>
    <cellStyle name="Normal 29 7" xfId="647"/>
    <cellStyle name="Normal 29 8" xfId="648"/>
    <cellStyle name="Normal 29 9" xfId="649"/>
    <cellStyle name="Normal 3" xfId="650"/>
    <cellStyle name="Normal 3 10" xfId="651"/>
    <cellStyle name="Normal 3 11" xfId="652"/>
    <cellStyle name="Normal 3 12" xfId="653"/>
    <cellStyle name="Normal 3 13" xfId="654"/>
    <cellStyle name="Normal 3 14" xfId="655"/>
    <cellStyle name="Normal 3 15" xfId="656"/>
    <cellStyle name="Normal 3 16" xfId="657"/>
    <cellStyle name="Normal 3 17" xfId="658"/>
    <cellStyle name="Normal 3 2" xfId="659"/>
    <cellStyle name="Normal 3 3" xfId="660"/>
    <cellStyle name="Normal 3 4" xfId="661"/>
    <cellStyle name="Normal 3 5" xfId="662"/>
    <cellStyle name="Normal 3 6" xfId="663"/>
    <cellStyle name="Normal 3 7" xfId="664"/>
    <cellStyle name="Normal 3 8" xfId="665"/>
    <cellStyle name="Normal 3 9" xfId="666"/>
    <cellStyle name="Normal 30" xfId="667"/>
    <cellStyle name="Normal 30 10" xfId="668"/>
    <cellStyle name="Normal 30 11" xfId="669"/>
    <cellStyle name="Normal 30 12" xfId="670"/>
    <cellStyle name="Normal 30 13" xfId="671"/>
    <cellStyle name="Normal 30 14" xfId="672"/>
    <cellStyle name="Normal 30 15" xfId="673"/>
    <cellStyle name="Normal 30 16" xfId="674"/>
    <cellStyle name="Normal 30 17" xfId="675"/>
    <cellStyle name="Normal 30 2" xfId="676"/>
    <cellStyle name="Normal 30 3" xfId="677"/>
    <cellStyle name="Normal 30 4" xfId="678"/>
    <cellStyle name="Normal 30 5" xfId="679"/>
    <cellStyle name="Normal 30 6" xfId="680"/>
    <cellStyle name="Normal 30 7" xfId="681"/>
    <cellStyle name="Normal 30 8" xfId="682"/>
    <cellStyle name="Normal 30 9" xfId="683"/>
    <cellStyle name="Normal 31" xfId="684"/>
    <cellStyle name="Normal 31 10" xfId="685"/>
    <cellStyle name="Normal 31 11" xfId="686"/>
    <cellStyle name="Normal 31 12" xfId="687"/>
    <cellStyle name="Normal 31 13" xfId="688"/>
    <cellStyle name="Normal 31 14" xfId="689"/>
    <cellStyle name="Normal 31 15" xfId="690"/>
    <cellStyle name="Normal 31 16" xfId="691"/>
    <cellStyle name="Normal 31 17" xfId="692"/>
    <cellStyle name="Normal 31 2" xfId="693"/>
    <cellStyle name="Normal 31 3" xfId="694"/>
    <cellStyle name="Normal 31 4" xfId="695"/>
    <cellStyle name="Normal 31 5" xfId="696"/>
    <cellStyle name="Normal 31 6" xfId="697"/>
    <cellStyle name="Normal 31 7" xfId="698"/>
    <cellStyle name="Normal 31 8" xfId="699"/>
    <cellStyle name="Normal 31 9" xfId="700"/>
    <cellStyle name="Normal 32" xfId="701"/>
    <cellStyle name="Normal 32 10" xfId="702"/>
    <cellStyle name="Normal 32 11" xfId="703"/>
    <cellStyle name="Normal 32 12" xfId="704"/>
    <cellStyle name="Normal 32 13" xfId="705"/>
    <cellStyle name="Normal 32 14" xfId="706"/>
    <cellStyle name="Normal 32 15" xfId="707"/>
    <cellStyle name="Normal 32 16" xfId="708"/>
    <cellStyle name="Normal 32 17" xfId="709"/>
    <cellStyle name="Normal 32 2" xfId="710"/>
    <cellStyle name="Normal 32 3" xfId="711"/>
    <cellStyle name="Normal 32 4" xfId="712"/>
    <cellStyle name="Normal 32 5" xfId="713"/>
    <cellStyle name="Normal 32 6" xfId="714"/>
    <cellStyle name="Normal 32 7" xfId="715"/>
    <cellStyle name="Normal 32 8" xfId="716"/>
    <cellStyle name="Normal 32 9" xfId="717"/>
    <cellStyle name="Normal 33" xfId="718"/>
    <cellStyle name="Normal 33 10" xfId="719"/>
    <cellStyle name="Normal 33 11" xfId="720"/>
    <cellStyle name="Normal 33 12" xfId="721"/>
    <cellStyle name="Normal 33 13" xfId="722"/>
    <cellStyle name="Normal 33 14" xfId="723"/>
    <cellStyle name="Normal 33 15" xfId="724"/>
    <cellStyle name="Normal 33 16" xfId="725"/>
    <cellStyle name="Normal 33 17" xfId="726"/>
    <cellStyle name="Normal 33 2" xfId="727"/>
    <cellStyle name="Normal 33 3" xfId="728"/>
    <cellStyle name="Normal 33 4" xfId="729"/>
    <cellStyle name="Normal 33 5" xfId="730"/>
    <cellStyle name="Normal 33 6" xfId="731"/>
    <cellStyle name="Normal 33 7" xfId="732"/>
    <cellStyle name="Normal 33 8" xfId="733"/>
    <cellStyle name="Normal 33 9" xfId="734"/>
    <cellStyle name="Normal 34" xfId="735"/>
    <cellStyle name="Normal 34 10" xfId="736"/>
    <cellStyle name="Normal 34 11" xfId="737"/>
    <cellStyle name="Normal 34 12" xfId="738"/>
    <cellStyle name="Normal 34 13" xfId="739"/>
    <cellStyle name="Normal 34 14" xfId="740"/>
    <cellStyle name="Normal 34 15" xfId="741"/>
    <cellStyle name="Normal 34 16" xfId="742"/>
    <cellStyle name="Normal 34 17" xfId="743"/>
    <cellStyle name="Normal 34 2" xfId="744"/>
    <cellStyle name="Normal 34 3" xfId="745"/>
    <cellStyle name="Normal 34 4" xfId="746"/>
    <cellStyle name="Normal 34 5" xfId="747"/>
    <cellStyle name="Normal 34 6" xfId="748"/>
    <cellStyle name="Normal 34 7" xfId="749"/>
    <cellStyle name="Normal 34 8" xfId="750"/>
    <cellStyle name="Normal 34 9" xfId="751"/>
    <cellStyle name="Normal 35" xfId="752"/>
    <cellStyle name="Normal 35 10" xfId="753"/>
    <cellStyle name="Normal 35 11" xfId="754"/>
    <cellStyle name="Normal 35 12" xfId="755"/>
    <cellStyle name="Normal 35 13" xfId="756"/>
    <cellStyle name="Normal 35 14" xfId="757"/>
    <cellStyle name="Normal 35 15" xfId="758"/>
    <cellStyle name="Normal 35 16" xfId="759"/>
    <cellStyle name="Normal 35 17" xfId="760"/>
    <cellStyle name="Normal 35 2" xfId="761"/>
    <cellStyle name="Normal 35 3" xfId="762"/>
    <cellStyle name="Normal 35 4" xfId="763"/>
    <cellStyle name="Normal 35 5" xfId="764"/>
    <cellStyle name="Normal 35 6" xfId="765"/>
    <cellStyle name="Normal 35 7" xfId="766"/>
    <cellStyle name="Normal 35 8" xfId="767"/>
    <cellStyle name="Normal 35 9" xfId="768"/>
    <cellStyle name="Normal 36" xfId="769"/>
    <cellStyle name="Normal 36 10" xfId="770"/>
    <cellStyle name="Normal 36 11" xfId="771"/>
    <cellStyle name="Normal 36 12" xfId="772"/>
    <cellStyle name="Normal 36 13" xfId="773"/>
    <cellStyle name="Normal 36 14" xfId="774"/>
    <cellStyle name="Normal 36 15" xfId="775"/>
    <cellStyle name="Normal 36 16" xfId="776"/>
    <cellStyle name="Normal 36 17" xfId="777"/>
    <cellStyle name="Normal 36 2" xfId="778"/>
    <cellStyle name="Normal 36 3" xfId="779"/>
    <cellStyle name="Normal 36 4" xfId="780"/>
    <cellStyle name="Normal 36 5" xfId="781"/>
    <cellStyle name="Normal 36 6" xfId="782"/>
    <cellStyle name="Normal 36 7" xfId="783"/>
    <cellStyle name="Normal 36 8" xfId="784"/>
    <cellStyle name="Normal 36 9" xfId="785"/>
    <cellStyle name="Normal 37" xfId="786"/>
    <cellStyle name="Normal 37 10" xfId="787"/>
    <cellStyle name="Normal 37 11" xfId="788"/>
    <cellStyle name="Normal 37 12" xfId="789"/>
    <cellStyle name="Normal 37 13" xfId="790"/>
    <cellStyle name="Normal 37 14" xfId="791"/>
    <cellStyle name="Normal 37 15" xfId="792"/>
    <cellStyle name="Normal 37 16" xfId="793"/>
    <cellStyle name="Normal 37 17" xfId="794"/>
    <cellStyle name="Normal 37 2" xfId="795"/>
    <cellStyle name="Normal 37 3" xfId="796"/>
    <cellStyle name="Normal 37 4" xfId="797"/>
    <cellStyle name="Normal 37 5" xfId="798"/>
    <cellStyle name="Normal 37 6" xfId="799"/>
    <cellStyle name="Normal 37 7" xfId="800"/>
    <cellStyle name="Normal 37 8" xfId="801"/>
    <cellStyle name="Normal 37 9" xfId="802"/>
    <cellStyle name="Normal 38" xfId="803"/>
    <cellStyle name="Normal 38 10" xfId="804"/>
    <cellStyle name="Normal 38 11" xfId="805"/>
    <cellStyle name="Normal 38 12" xfId="806"/>
    <cellStyle name="Normal 38 13" xfId="807"/>
    <cellStyle name="Normal 38 14" xfId="808"/>
    <cellStyle name="Normal 38 15" xfId="809"/>
    <cellStyle name="Normal 38 16" xfId="810"/>
    <cellStyle name="Normal 38 17" xfId="811"/>
    <cellStyle name="Normal 38 2" xfId="812"/>
    <cellStyle name="Normal 38 3" xfId="813"/>
    <cellStyle name="Normal 38 4" xfId="814"/>
    <cellStyle name="Normal 38 5" xfId="815"/>
    <cellStyle name="Normal 38 6" xfId="816"/>
    <cellStyle name="Normal 38 7" xfId="817"/>
    <cellStyle name="Normal 38 8" xfId="818"/>
    <cellStyle name="Normal 38 9" xfId="819"/>
    <cellStyle name="Normal 39" xfId="820"/>
    <cellStyle name="Normal 39 10" xfId="821"/>
    <cellStyle name="Normal 39 11" xfId="822"/>
    <cellStyle name="Normal 39 12" xfId="823"/>
    <cellStyle name="Normal 39 13" xfId="824"/>
    <cellStyle name="Normal 39 14" xfId="825"/>
    <cellStyle name="Normal 39 15" xfId="826"/>
    <cellStyle name="Normal 39 16" xfId="827"/>
    <cellStyle name="Normal 39 17" xfId="828"/>
    <cellStyle name="Normal 39 2" xfId="829"/>
    <cellStyle name="Normal 39 3" xfId="830"/>
    <cellStyle name="Normal 39 4" xfId="831"/>
    <cellStyle name="Normal 39 5" xfId="832"/>
    <cellStyle name="Normal 39 6" xfId="833"/>
    <cellStyle name="Normal 39 7" xfId="834"/>
    <cellStyle name="Normal 39 8" xfId="835"/>
    <cellStyle name="Normal 39 9" xfId="836"/>
    <cellStyle name="Normal 4" xfId="837"/>
    <cellStyle name="Normal 4 10" xfId="838"/>
    <cellStyle name="Normal 4 11" xfId="839"/>
    <cellStyle name="Normal 4 12" xfId="840"/>
    <cellStyle name="Normal 4 13" xfId="841"/>
    <cellStyle name="Normal 4 14" xfId="842"/>
    <cellStyle name="Normal 4 15" xfId="843"/>
    <cellStyle name="Normal 4 16" xfId="844"/>
    <cellStyle name="Normal 4 17" xfId="845"/>
    <cellStyle name="Normal 4 2" xfId="846"/>
    <cellStyle name="Normal 4 3" xfId="847"/>
    <cellStyle name="Normal 4 4" xfId="848"/>
    <cellStyle name="Normal 4 5" xfId="849"/>
    <cellStyle name="Normal 4 6" xfId="850"/>
    <cellStyle name="Normal 4 7" xfId="851"/>
    <cellStyle name="Normal 4 8" xfId="852"/>
    <cellStyle name="Normal 4 9" xfId="853"/>
    <cellStyle name="Normal 40" xfId="854"/>
    <cellStyle name="Normal 40 10" xfId="855"/>
    <cellStyle name="Normal 40 11" xfId="856"/>
    <cellStyle name="Normal 40 12" xfId="857"/>
    <cellStyle name="Normal 40 13" xfId="858"/>
    <cellStyle name="Normal 40 14" xfId="859"/>
    <cellStyle name="Normal 40 15" xfId="860"/>
    <cellStyle name="Normal 40 16" xfId="861"/>
    <cellStyle name="Normal 40 17" xfId="862"/>
    <cellStyle name="Normal 40 2" xfId="863"/>
    <cellStyle name="Normal 40 3" xfId="864"/>
    <cellStyle name="Normal 40 4" xfId="865"/>
    <cellStyle name="Normal 40 5" xfId="866"/>
    <cellStyle name="Normal 40 6" xfId="867"/>
    <cellStyle name="Normal 40 7" xfId="868"/>
    <cellStyle name="Normal 40 8" xfId="869"/>
    <cellStyle name="Normal 40 9" xfId="870"/>
    <cellStyle name="Normal 41" xfId="871"/>
    <cellStyle name="Normal 42" xfId="872"/>
    <cellStyle name="Normal 42 10" xfId="873"/>
    <cellStyle name="Normal 42 11" xfId="874"/>
    <cellStyle name="Normal 42 12" xfId="875"/>
    <cellStyle name="Normal 42 13" xfId="876"/>
    <cellStyle name="Normal 42 14" xfId="877"/>
    <cellStyle name="Normal 42 15" xfId="878"/>
    <cellStyle name="Normal 42 16" xfId="879"/>
    <cellStyle name="Normal 42 17" xfId="880"/>
    <cellStyle name="Normal 42 2" xfId="881"/>
    <cellStyle name="Normal 42 3" xfId="882"/>
    <cellStyle name="Normal 42 4" xfId="883"/>
    <cellStyle name="Normal 42 5" xfId="884"/>
    <cellStyle name="Normal 42 6" xfId="885"/>
    <cellStyle name="Normal 42 7" xfId="886"/>
    <cellStyle name="Normal 42 8" xfId="887"/>
    <cellStyle name="Normal 42 9" xfId="888"/>
    <cellStyle name="Normal 43" xfId="889"/>
    <cellStyle name="Normal 43 10" xfId="890"/>
    <cellStyle name="Normal 43 11" xfId="891"/>
    <cellStyle name="Normal 43 12" xfId="892"/>
    <cellStyle name="Normal 43 13" xfId="893"/>
    <cellStyle name="Normal 43 14" xfId="894"/>
    <cellStyle name="Normal 43 15" xfId="895"/>
    <cellStyle name="Normal 43 16" xfId="896"/>
    <cellStyle name="Normal 43 17" xfId="897"/>
    <cellStyle name="Normal 43 2" xfId="898"/>
    <cellStyle name="Normal 43 3" xfId="899"/>
    <cellStyle name="Normal 43 4" xfId="900"/>
    <cellStyle name="Normal 43 5" xfId="901"/>
    <cellStyle name="Normal 43 6" xfId="902"/>
    <cellStyle name="Normal 43 7" xfId="903"/>
    <cellStyle name="Normal 43 8" xfId="904"/>
    <cellStyle name="Normal 43 9" xfId="905"/>
    <cellStyle name="Normal 44" xfId="906"/>
    <cellStyle name="Normal 44 10" xfId="907"/>
    <cellStyle name="Normal 44 11" xfId="908"/>
    <cellStyle name="Normal 44 12" xfId="909"/>
    <cellStyle name="Normal 44 13" xfId="910"/>
    <cellStyle name="Normal 44 14" xfId="911"/>
    <cellStyle name="Normal 44 15" xfId="912"/>
    <cellStyle name="Normal 44 16" xfId="913"/>
    <cellStyle name="Normal 44 17" xfId="914"/>
    <cellStyle name="Normal 44 2" xfId="915"/>
    <cellStyle name="Normal 44 3" xfId="916"/>
    <cellStyle name="Normal 44 4" xfId="917"/>
    <cellStyle name="Normal 44 5" xfId="918"/>
    <cellStyle name="Normal 44 6" xfId="919"/>
    <cellStyle name="Normal 44 7" xfId="920"/>
    <cellStyle name="Normal 44 8" xfId="921"/>
    <cellStyle name="Normal 44 9" xfId="922"/>
    <cellStyle name="Normal 45" xfId="923"/>
    <cellStyle name="Normal 46" xfId="924"/>
    <cellStyle name="Normal 46 10" xfId="925"/>
    <cellStyle name="Normal 46 11" xfId="926"/>
    <cellStyle name="Normal 46 12" xfId="927"/>
    <cellStyle name="Normal 46 13" xfId="928"/>
    <cellStyle name="Normal 46 14" xfId="929"/>
    <cellStyle name="Normal 46 15" xfId="930"/>
    <cellStyle name="Normal 46 16" xfId="931"/>
    <cellStyle name="Normal 46 17" xfId="932"/>
    <cellStyle name="Normal 46 2" xfId="933"/>
    <cellStyle name="Normal 46 3" xfId="934"/>
    <cellStyle name="Normal 46 4" xfId="935"/>
    <cellStyle name="Normal 46 5" xfId="936"/>
    <cellStyle name="Normal 46 6" xfId="937"/>
    <cellStyle name="Normal 46 7" xfId="938"/>
    <cellStyle name="Normal 46 8" xfId="939"/>
    <cellStyle name="Normal 46 9" xfId="940"/>
    <cellStyle name="Normal 47" xfId="941"/>
    <cellStyle name="Normal 47 2" xfId="942"/>
    <cellStyle name="Normal 48" xfId="943"/>
    <cellStyle name="Normal 48 2" xfId="944"/>
    <cellStyle name="Normal 48 3" xfId="945"/>
    <cellStyle name="Normal 49" xfId="946"/>
    <cellStyle name="Normal 49 2" xfId="947"/>
    <cellStyle name="Normal 49 3" xfId="948"/>
    <cellStyle name="Normal 5" xfId="949"/>
    <cellStyle name="Normal 5 10" xfId="950"/>
    <cellStyle name="Normal 5 11" xfId="951"/>
    <cellStyle name="Normal 5 12" xfId="952"/>
    <cellStyle name="Normal 5 13" xfId="953"/>
    <cellStyle name="Normal 5 14" xfId="954"/>
    <cellStyle name="Normal 5 15" xfId="955"/>
    <cellStyle name="Normal 5 16" xfId="956"/>
    <cellStyle name="Normal 5 17" xfId="957"/>
    <cellStyle name="Normal 5 2" xfId="958"/>
    <cellStyle name="Normal 5 3" xfId="959"/>
    <cellStyle name="Normal 5 4" xfId="960"/>
    <cellStyle name="Normal 5 5" xfId="961"/>
    <cellStyle name="Normal 5 6" xfId="962"/>
    <cellStyle name="Normal 5 7" xfId="963"/>
    <cellStyle name="Normal 5 8" xfId="964"/>
    <cellStyle name="Normal 5 9" xfId="965"/>
    <cellStyle name="Normal 50" xfId="966"/>
    <cellStyle name="Normal 50 2" xfId="967"/>
    <cellStyle name="Normal 50 3" xfId="968"/>
    <cellStyle name="Normal 51" xfId="969"/>
    <cellStyle name="Normal 51 2" xfId="970"/>
    <cellStyle name="Normal 51 3" xfId="971"/>
    <cellStyle name="Normal 52" xfId="972"/>
    <cellStyle name="Normal 52 2" xfId="973"/>
    <cellStyle name="Normal 52 3" xfId="974"/>
    <cellStyle name="Normal 53" xfId="975"/>
    <cellStyle name="Normal 53 2" xfId="976"/>
    <cellStyle name="Normal 53 3" xfId="977"/>
    <cellStyle name="Normal 54" xfId="978"/>
    <cellStyle name="Normal 54 2" xfId="979"/>
    <cellStyle name="Normal 54 3" xfId="980"/>
    <cellStyle name="Normal 55" xfId="981"/>
    <cellStyle name="Normal 55 2" xfId="982"/>
    <cellStyle name="Normal 55 3" xfId="983"/>
    <cellStyle name="Normal 56" xfId="984"/>
    <cellStyle name="Normal 56 2" xfId="985"/>
    <cellStyle name="Normal 56 3" xfId="986"/>
    <cellStyle name="Normal 57" xfId="987"/>
    <cellStyle name="Normal 57 2" xfId="988"/>
    <cellStyle name="Normal 57 3" xfId="989"/>
    <cellStyle name="Normal 58" xfId="990"/>
    <cellStyle name="Normal 58 2" xfId="991"/>
    <cellStyle name="Normal 58 3" xfId="992"/>
    <cellStyle name="Normal 59" xfId="993"/>
    <cellStyle name="Normal 59 2" xfId="994"/>
    <cellStyle name="Normal 59 3" xfId="995"/>
    <cellStyle name="Normal 6" xfId="996"/>
    <cellStyle name="Normal 6 10" xfId="997"/>
    <cellStyle name="Normal 6 11" xfId="998"/>
    <cellStyle name="Normal 6 12" xfId="999"/>
    <cellStyle name="Normal 6 13" xfId="1000"/>
    <cellStyle name="Normal 6 14" xfId="1001"/>
    <cellStyle name="Normal 6 15" xfId="1002"/>
    <cellStyle name="Normal 6 16" xfId="1003"/>
    <cellStyle name="Normal 6 17" xfId="1004"/>
    <cellStyle name="Normal 6 2" xfId="1005"/>
    <cellStyle name="Normal 6 3" xfId="1006"/>
    <cellStyle name="Normal 6 4" xfId="1007"/>
    <cellStyle name="Normal 6 5" xfId="1008"/>
    <cellStyle name="Normal 6 6" xfId="1009"/>
    <cellStyle name="Normal 6 7" xfId="1010"/>
    <cellStyle name="Normal 6 8" xfId="1011"/>
    <cellStyle name="Normal 6 9" xfId="1012"/>
    <cellStyle name="Normal 60" xfId="1013"/>
    <cellStyle name="Normal 60 2" xfId="1014"/>
    <cellStyle name="Normal 60 3" xfId="1015"/>
    <cellStyle name="Normal 61" xfId="1016"/>
    <cellStyle name="Normal 62" xfId="1017"/>
    <cellStyle name="Normal 7" xfId="1018"/>
    <cellStyle name="Normal 7 10" xfId="1019"/>
    <cellStyle name="Normal 7 11" xfId="1020"/>
    <cellStyle name="Normal 7 12" xfId="1021"/>
    <cellStyle name="Normal 7 13" xfId="1022"/>
    <cellStyle name="Normal 7 14" xfId="1023"/>
    <cellStyle name="Normal 7 15" xfId="1024"/>
    <cellStyle name="Normal 7 16" xfId="1025"/>
    <cellStyle name="Normal 7 17" xfId="1026"/>
    <cellStyle name="Normal 7 2" xfId="1027"/>
    <cellStyle name="Normal 7 3" xfId="1028"/>
    <cellStyle name="Normal 7 4" xfId="1029"/>
    <cellStyle name="Normal 7 5" xfId="1030"/>
    <cellStyle name="Normal 7 6" xfId="1031"/>
    <cellStyle name="Normal 7 7" xfId="1032"/>
    <cellStyle name="Normal 7 8" xfId="1033"/>
    <cellStyle name="Normal 7 9" xfId="1034"/>
    <cellStyle name="Normal 8" xfId="1035"/>
    <cellStyle name="Normal 8 10" xfId="1036"/>
    <cellStyle name="Normal 8 11" xfId="1037"/>
    <cellStyle name="Normal 8 12" xfId="1038"/>
    <cellStyle name="Normal 8 13" xfId="1039"/>
    <cellStyle name="Normal 8 14" xfId="1040"/>
    <cellStyle name="Normal 8 15" xfId="1041"/>
    <cellStyle name="Normal 8 16" xfId="1042"/>
    <cellStyle name="Normal 8 17" xfId="1043"/>
    <cellStyle name="Normal 8 2" xfId="1044"/>
    <cellStyle name="Normal 8 3" xfId="1045"/>
    <cellStyle name="Normal 8 4" xfId="1046"/>
    <cellStyle name="Normal 8 5" xfId="1047"/>
    <cellStyle name="Normal 8 6" xfId="1048"/>
    <cellStyle name="Normal 8 7" xfId="1049"/>
    <cellStyle name="Normal 8 8" xfId="1050"/>
    <cellStyle name="Normal 8 9" xfId="1051"/>
    <cellStyle name="Normal 9" xfId="1052"/>
    <cellStyle name="Normal 9 10" xfId="1053"/>
    <cellStyle name="Normal 9 11" xfId="1054"/>
    <cellStyle name="Normal 9 12" xfId="1055"/>
    <cellStyle name="Normal 9 13" xfId="1056"/>
    <cellStyle name="Normal 9 14" xfId="1057"/>
    <cellStyle name="Normal 9 15" xfId="1058"/>
    <cellStyle name="Normal 9 16" xfId="1059"/>
    <cellStyle name="Normal 9 17" xfId="1060"/>
    <cellStyle name="Normal 9 2" xfId="1061"/>
    <cellStyle name="Normal 9 3" xfId="1062"/>
    <cellStyle name="Normal 9 4" xfId="1063"/>
    <cellStyle name="Normal 9 5" xfId="1064"/>
    <cellStyle name="Normal 9 6" xfId="1065"/>
    <cellStyle name="Normal 9 7" xfId="1066"/>
    <cellStyle name="Normal 9 8" xfId="1067"/>
    <cellStyle name="Normal 9 9" xfId="1068"/>
    <cellStyle name="Normal_3.3 Sjóðs. " xfId="1069"/>
    <cellStyle name="Normal_B-deild ársreikn 311200-3" xfId="1070"/>
    <cellStyle name="Normal_BLS81.XLS" xfId="1071"/>
    <cellStyle name="Normal_Sam kennit" xfId="1072"/>
    <cellStyle name="Normal_Sam sjóðst" xfId="1073"/>
    <cellStyle name="Normal_Ser kt." xfId="1074"/>
    <cellStyle name="Normal_Sheet1" xfId="1075"/>
    <cellStyle name="Normal_Sheet2" xfId="1076"/>
    <cellStyle name="Normal_Sheet4" xfId="1077"/>
    <cellStyle name="Note" xfId="1078"/>
    <cellStyle name="Note 2" xfId="1079"/>
    <cellStyle name="Note 2 2" xfId="1080"/>
    <cellStyle name="Note 3" xfId="1081"/>
    <cellStyle name="Note 3 2" xfId="1082"/>
    <cellStyle name="Note 4" xfId="1083"/>
    <cellStyle name="Note 4 2" xfId="1084"/>
    <cellStyle name="Note 5" xfId="1085"/>
    <cellStyle name="Output" xfId="1086"/>
    <cellStyle name="Output 2" xfId="1087"/>
    <cellStyle name="Output 2 2" xfId="1088"/>
    <cellStyle name="Output 3" xfId="1089"/>
    <cellStyle name="Output 3 2" xfId="1090"/>
    <cellStyle name="Output 4" xfId="1091"/>
    <cellStyle name="Output 4 2" xfId="1092"/>
    <cellStyle name="Output 5" xfId="1093"/>
    <cellStyle name="Percent" xfId="1094"/>
    <cellStyle name="Title" xfId="1095"/>
    <cellStyle name="Title 2" xfId="1096"/>
    <cellStyle name="Title 2 2" xfId="1097"/>
    <cellStyle name="Title 3" xfId="1098"/>
    <cellStyle name="Title 3 2" xfId="1099"/>
    <cellStyle name="Title 4" xfId="1100"/>
    <cellStyle name="Title 4 2" xfId="1101"/>
    <cellStyle name="Title 5" xfId="1102"/>
    <cellStyle name="Total" xfId="1103"/>
    <cellStyle name="Total 2" xfId="1104"/>
    <cellStyle name="Total 2 2" xfId="1105"/>
    <cellStyle name="Total 3" xfId="1106"/>
    <cellStyle name="Total 3 2" xfId="1107"/>
    <cellStyle name="Total 4" xfId="1108"/>
    <cellStyle name="Total 4 2" xfId="1109"/>
    <cellStyle name="Total 5" xfId="1110"/>
    <cellStyle name="Warning Text" xfId="1111"/>
    <cellStyle name="Warning Text 2" xfId="1112"/>
    <cellStyle name="Warning Text 2 2" xfId="1113"/>
    <cellStyle name="Warning Text 3" xfId="1114"/>
    <cellStyle name="Warning Text 3 2" xfId="1115"/>
    <cellStyle name="Warning Text 4" xfId="1116"/>
    <cellStyle name="Warning Text 4 2" xfId="1117"/>
    <cellStyle name="Warning Text 5" xfId="1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C34" sqref="C34"/>
    </sheetView>
  </sheetViews>
  <sheetFormatPr defaultColWidth="9.140625" defaultRowHeight="12.75"/>
  <cols>
    <col min="1" max="1" width="3.28125" style="2" customWidth="1"/>
    <col min="2" max="2" width="48.00390625" style="2" customWidth="1"/>
    <col min="3" max="3" width="12.140625" style="2" customWidth="1"/>
    <col min="4" max="4" width="11.57421875" style="3" customWidth="1"/>
    <col min="5" max="6" width="9.140625" style="2" customWidth="1"/>
    <col min="7" max="7" width="8.8515625" style="4" customWidth="1"/>
    <col min="8" max="16384" width="9.140625" style="2" customWidth="1"/>
  </cols>
  <sheetData>
    <row r="1" spans="1:4" ht="14.25" customHeight="1">
      <c r="A1" s="1" t="s">
        <v>533</v>
      </c>
      <c r="B1" s="1"/>
      <c r="C1" s="1"/>
      <c r="D1" s="121"/>
    </row>
    <row r="2" spans="1:4" ht="14.25" customHeight="1">
      <c r="A2" s="1" t="s">
        <v>615</v>
      </c>
      <c r="B2" s="1"/>
      <c r="C2" s="1"/>
      <c r="D2" s="121"/>
    </row>
    <row r="3" spans="1:4" ht="14.25" customHeight="1">
      <c r="A3" s="1"/>
      <c r="B3" s="1"/>
      <c r="C3" s="1"/>
      <c r="D3" s="121"/>
    </row>
    <row r="4" spans="1:4" ht="12.75" customHeight="1">
      <c r="A4" s="1"/>
      <c r="B4" s="1"/>
      <c r="C4" s="1"/>
      <c r="D4" s="121"/>
    </row>
    <row r="5" spans="1:4" ht="12.75" customHeight="1">
      <c r="A5" s="1"/>
      <c r="B5" s="1"/>
      <c r="C5" s="122" t="s">
        <v>427</v>
      </c>
      <c r="D5" s="122" t="s">
        <v>428</v>
      </c>
    </row>
    <row r="6" spans="1:4" ht="12.75" customHeight="1">
      <c r="A6" s="1"/>
      <c r="B6" s="123" t="s">
        <v>429</v>
      </c>
      <c r="C6" s="122" t="s">
        <v>430</v>
      </c>
      <c r="D6" s="122" t="s">
        <v>431</v>
      </c>
    </row>
    <row r="7" spans="2:4" ht="6" customHeight="1">
      <c r="B7" s="6"/>
      <c r="C7" s="5"/>
      <c r="D7" s="5"/>
    </row>
    <row r="8" spans="1:8" ht="12.75" customHeight="1">
      <c r="A8" s="7"/>
      <c r="B8" s="1" t="s">
        <v>23</v>
      </c>
      <c r="C8" s="121">
        <v>7</v>
      </c>
      <c r="D8" s="121">
        <v>5</v>
      </c>
      <c r="F8" s="7"/>
      <c r="G8" s="7"/>
      <c r="H8" s="8"/>
    </row>
    <row r="9" spans="1:8" ht="12.75" customHeight="1">
      <c r="A9" s="7"/>
      <c r="B9" s="1" t="s">
        <v>534</v>
      </c>
      <c r="C9" s="121">
        <v>1</v>
      </c>
      <c r="D9" s="121">
        <v>20</v>
      </c>
      <c r="F9" s="7"/>
      <c r="G9" s="7"/>
      <c r="H9" s="8"/>
    </row>
    <row r="10" spans="1:9" ht="12.75" customHeight="1">
      <c r="A10" s="7"/>
      <c r="B10" s="1" t="s">
        <v>535</v>
      </c>
      <c r="C10" s="121">
        <v>1</v>
      </c>
      <c r="D10" s="121">
        <v>29</v>
      </c>
      <c r="F10" s="7"/>
      <c r="G10" s="126"/>
      <c r="H10" s="126"/>
      <c r="I10" s="1"/>
    </row>
    <row r="11" spans="1:9" ht="12.75" customHeight="1">
      <c r="A11" s="7"/>
      <c r="B11" s="1" t="s">
        <v>536</v>
      </c>
      <c r="C11" s="121">
        <v>1</v>
      </c>
      <c r="D11" s="121">
        <v>31</v>
      </c>
      <c r="F11" s="7"/>
      <c r="G11" s="126"/>
      <c r="H11" s="126"/>
      <c r="I11" s="1"/>
    </row>
    <row r="12" spans="1:9" ht="12.75" customHeight="1">
      <c r="A12" s="7"/>
      <c r="B12" s="1" t="s">
        <v>537</v>
      </c>
      <c r="C12" s="121">
        <v>1</v>
      </c>
      <c r="D12" s="121">
        <v>23</v>
      </c>
      <c r="F12" s="7"/>
      <c r="G12" s="126"/>
      <c r="H12" s="126"/>
      <c r="I12" s="1"/>
    </row>
    <row r="13" spans="1:9" ht="12.75" customHeight="1">
      <c r="A13" s="7"/>
      <c r="B13" s="1" t="s">
        <v>538</v>
      </c>
      <c r="C13" s="121">
        <v>1</v>
      </c>
      <c r="D13" s="121">
        <v>28</v>
      </c>
      <c r="F13" s="7"/>
      <c r="G13" s="126"/>
      <c r="H13" s="126"/>
      <c r="I13" s="1"/>
    </row>
    <row r="14" spans="1:8" ht="12.75" customHeight="1">
      <c r="A14" s="7"/>
      <c r="B14" s="1" t="s">
        <v>605</v>
      </c>
      <c r="C14" s="121">
        <v>1</v>
      </c>
      <c r="D14" s="121">
        <v>37</v>
      </c>
      <c r="F14" s="7"/>
      <c r="G14" s="7"/>
      <c r="H14" s="8"/>
    </row>
    <row r="15" spans="1:9" ht="12.75" customHeight="1">
      <c r="A15" s="7"/>
      <c r="B15" s="1" t="s">
        <v>24</v>
      </c>
      <c r="C15" s="121">
        <v>2</v>
      </c>
      <c r="D15" s="121">
        <v>10</v>
      </c>
      <c r="F15" s="7"/>
      <c r="G15" s="126"/>
      <c r="H15" s="126"/>
      <c r="I15" s="1"/>
    </row>
    <row r="16" spans="1:9" ht="12.75" customHeight="1">
      <c r="A16" s="7"/>
      <c r="B16" s="1" t="s">
        <v>246</v>
      </c>
      <c r="C16" s="121">
        <v>4</v>
      </c>
      <c r="D16" s="121">
        <v>8</v>
      </c>
      <c r="F16" s="7"/>
      <c r="G16" s="126"/>
      <c r="H16" s="126"/>
      <c r="I16" s="1"/>
    </row>
    <row r="17" spans="1:9" ht="12.75" customHeight="1">
      <c r="A17" s="7"/>
      <c r="B17" s="1" t="s">
        <v>25</v>
      </c>
      <c r="C17" s="121">
        <v>4</v>
      </c>
      <c r="D17" s="121">
        <v>3</v>
      </c>
      <c r="F17" s="7"/>
      <c r="G17" s="126"/>
      <c r="H17" s="126"/>
      <c r="I17" s="1"/>
    </row>
    <row r="18" spans="1:9" ht="12.75" customHeight="1">
      <c r="A18" s="7"/>
      <c r="B18" s="1" t="s">
        <v>26</v>
      </c>
      <c r="C18" s="121">
        <v>5</v>
      </c>
      <c r="D18" s="121">
        <v>14</v>
      </c>
      <c r="F18" s="7"/>
      <c r="G18" s="126"/>
      <c r="H18" s="126"/>
      <c r="I18" s="1"/>
    </row>
    <row r="19" spans="1:9" ht="12.75" customHeight="1">
      <c r="A19" s="7"/>
      <c r="B19" s="1" t="s">
        <v>539</v>
      </c>
      <c r="C19" s="121">
        <v>1</v>
      </c>
      <c r="D19" s="121">
        <v>22</v>
      </c>
      <c r="F19" s="7"/>
      <c r="G19" s="126"/>
      <c r="H19" s="126"/>
      <c r="I19" s="1"/>
    </row>
    <row r="20" spans="1:9" ht="12.75" customHeight="1">
      <c r="A20" s="7"/>
      <c r="B20" s="1" t="s">
        <v>399</v>
      </c>
      <c r="C20" s="121">
        <v>1</v>
      </c>
      <c r="D20" s="121">
        <v>30</v>
      </c>
      <c r="F20" s="7"/>
      <c r="G20" s="126"/>
      <c r="H20" s="126"/>
      <c r="I20" s="1"/>
    </row>
    <row r="21" spans="1:9" ht="12.75" customHeight="1">
      <c r="A21" s="7"/>
      <c r="B21" s="1" t="s">
        <v>3</v>
      </c>
      <c r="C21" s="121">
        <v>2</v>
      </c>
      <c r="D21" s="121">
        <v>12</v>
      </c>
      <c r="F21" s="7"/>
      <c r="G21" s="126"/>
      <c r="H21" s="126"/>
      <c r="I21" s="1"/>
    </row>
    <row r="22" spans="1:9" ht="12.75" customHeight="1">
      <c r="A22" s="7"/>
      <c r="B22" s="1" t="s">
        <v>27</v>
      </c>
      <c r="C22" s="121">
        <v>1</v>
      </c>
      <c r="D22" s="121">
        <v>19</v>
      </c>
      <c r="F22" s="7"/>
      <c r="G22" s="126"/>
      <c r="H22" s="126"/>
      <c r="I22" s="1"/>
    </row>
    <row r="23" spans="1:9" ht="12.75" customHeight="1">
      <c r="A23" s="7"/>
      <c r="B23" s="1" t="s">
        <v>578</v>
      </c>
      <c r="C23" s="121">
        <v>1</v>
      </c>
      <c r="D23" s="121">
        <v>35</v>
      </c>
      <c r="F23" s="7"/>
      <c r="G23" s="126"/>
      <c r="H23" s="126"/>
      <c r="I23" s="1"/>
    </row>
    <row r="24" spans="1:9" ht="12.75" customHeight="1">
      <c r="A24" s="7"/>
      <c r="B24" s="1" t="s">
        <v>398</v>
      </c>
      <c r="C24" s="121">
        <v>1</v>
      </c>
      <c r="D24" s="121">
        <v>18</v>
      </c>
      <c r="F24" s="7"/>
      <c r="G24" s="126"/>
      <c r="H24" s="126"/>
      <c r="I24" s="1"/>
    </row>
    <row r="25" spans="1:8" ht="12.75" customHeight="1">
      <c r="A25" s="7"/>
      <c r="B25" s="1" t="s">
        <v>401</v>
      </c>
      <c r="C25" s="121">
        <v>1</v>
      </c>
      <c r="D25" s="121">
        <v>34</v>
      </c>
      <c r="F25" s="7"/>
      <c r="G25" s="7"/>
      <c r="H25" s="8"/>
    </row>
    <row r="26" spans="1:8" ht="12.75" customHeight="1">
      <c r="A26" s="7"/>
      <c r="B26" s="1" t="s">
        <v>28</v>
      </c>
      <c r="C26" s="121">
        <v>1</v>
      </c>
      <c r="D26" s="121">
        <v>25</v>
      </c>
      <c r="F26" s="7"/>
      <c r="G26" s="7"/>
      <c r="H26" s="8"/>
    </row>
    <row r="27" spans="1:8" ht="12.75" customHeight="1">
      <c r="A27" s="7"/>
      <c r="B27" s="1" t="s">
        <v>540</v>
      </c>
      <c r="C27" s="121">
        <v>1</v>
      </c>
      <c r="D27" s="121">
        <v>24</v>
      </c>
      <c r="F27" s="7"/>
      <c r="G27" s="7"/>
      <c r="H27" s="8"/>
    </row>
    <row r="28" spans="1:8" ht="12.75" customHeight="1">
      <c r="A28" s="7"/>
      <c r="B28" s="1" t="s">
        <v>541</v>
      </c>
      <c r="C28" s="121">
        <v>1</v>
      </c>
      <c r="D28" s="121">
        <v>21</v>
      </c>
      <c r="F28" s="7"/>
      <c r="G28" s="7"/>
      <c r="H28" s="8"/>
    </row>
    <row r="29" spans="1:8" ht="12.75" customHeight="1">
      <c r="A29" s="7"/>
      <c r="B29" s="1" t="s">
        <v>542</v>
      </c>
      <c r="C29" s="121">
        <v>1</v>
      </c>
      <c r="D29" s="121">
        <v>32</v>
      </c>
      <c r="F29" s="7"/>
      <c r="G29" s="7"/>
      <c r="H29" s="9"/>
    </row>
    <row r="30" spans="1:8" ht="12.75" customHeight="1">
      <c r="A30" s="7"/>
      <c r="B30" s="1" t="s">
        <v>543</v>
      </c>
      <c r="C30" s="121">
        <v>1</v>
      </c>
      <c r="D30" s="121">
        <v>27</v>
      </c>
      <c r="F30" s="7"/>
      <c r="G30" s="7"/>
      <c r="H30" s="8"/>
    </row>
    <row r="31" spans="1:8" ht="12.75" customHeight="1">
      <c r="A31" s="7"/>
      <c r="B31" s="1" t="s">
        <v>544</v>
      </c>
      <c r="C31" s="121">
        <v>1</v>
      </c>
      <c r="D31" s="121">
        <v>11</v>
      </c>
      <c r="F31" s="7"/>
      <c r="G31" s="7"/>
      <c r="H31" s="8"/>
    </row>
    <row r="32" spans="1:8" ht="12.75" customHeight="1">
      <c r="A32" s="7"/>
      <c r="B32" s="1" t="s">
        <v>396</v>
      </c>
      <c r="C32" s="121">
        <v>5</v>
      </c>
      <c r="D32" s="121">
        <v>1</v>
      </c>
      <c r="F32" s="7"/>
      <c r="G32" s="7"/>
      <c r="H32" s="8"/>
    </row>
    <row r="33" spans="1:8" ht="12.75" customHeight="1">
      <c r="A33" s="7"/>
      <c r="B33" s="1" t="s">
        <v>248</v>
      </c>
      <c r="C33" s="121">
        <v>5</v>
      </c>
      <c r="D33" s="121">
        <v>15</v>
      </c>
      <c r="F33" s="7"/>
      <c r="G33" s="7"/>
      <c r="H33" s="8"/>
    </row>
    <row r="34" spans="1:8" ht="12.75" customHeight="1">
      <c r="A34" s="7"/>
      <c r="B34" s="1" t="s">
        <v>545</v>
      </c>
      <c r="C34" s="121">
        <v>1</v>
      </c>
      <c r="D34" s="121">
        <v>36</v>
      </c>
      <c r="F34" s="7"/>
      <c r="G34" s="7"/>
      <c r="H34" s="8"/>
    </row>
    <row r="35" spans="1:8" ht="12.75" customHeight="1">
      <c r="A35" s="7"/>
      <c r="B35" s="1" t="s">
        <v>546</v>
      </c>
      <c r="C35" s="121">
        <v>2</v>
      </c>
      <c r="D35" s="121">
        <v>26</v>
      </c>
      <c r="F35" s="7"/>
      <c r="G35" s="7"/>
      <c r="H35" s="8"/>
    </row>
    <row r="36" spans="1:8" ht="12.75" customHeight="1">
      <c r="A36" s="7"/>
      <c r="B36" s="1" t="s">
        <v>29</v>
      </c>
      <c r="C36" s="121">
        <v>3</v>
      </c>
      <c r="D36" s="121">
        <v>13</v>
      </c>
      <c r="F36" s="7"/>
      <c r="G36" s="7"/>
      <c r="H36" s="8"/>
    </row>
    <row r="37" spans="1:8" ht="12.75" customHeight="1">
      <c r="A37" s="7"/>
      <c r="B37" s="1" t="s">
        <v>397</v>
      </c>
      <c r="C37" s="121">
        <v>2</v>
      </c>
      <c r="D37" s="121">
        <v>2</v>
      </c>
      <c r="F37" s="7"/>
      <c r="G37" s="7"/>
      <c r="H37" s="8"/>
    </row>
    <row r="38" spans="1:8" ht="12.75" customHeight="1">
      <c r="A38" s="7"/>
      <c r="B38" s="1" t="s">
        <v>30</v>
      </c>
      <c r="C38" s="121">
        <v>2</v>
      </c>
      <c r="D38" s="121">
        <v>16</v>
      </c>
      <c r="F38" s="7"/>
      <c r="G38" s="7"/>
      <c r="H38" s="8"/>
    </row>
    <row r="39" spans="1:8" ht="12.75" customHeight="1">
      <c r="A39" s="7"/>
      <c r="B39" s="1" t="s">
        <v>249</v>
      </c>
      <c r="C39" s="121">
        <v>3</v>
      </c>
      <c r="D39" s="121">
        <v>17</v>
      </c>
      <c r="F39" s="7"/>
      <c r="G39" s="7"/>
      <c r="H39" s="8"/>
    </row>
    <row r="40" spans="1:8" ht="12.75" customHeight="1">
      <c r="A40" s="7"/>
      <c r="B40" s="1" t="s">
        <v>400</v>
      </c>
      <c r="C40" s="121">
        <v>1</v>
      </c>
      <c r="D40" s="121">
        <v>33</v>
      </c>
      <c r="F40" s="7"/>
      <c r="G40" s="7"/>
      <c r="H40" s="8"/>
    </row>
    <row r="41" spans="1:8" ht="12.75" customHeight="1">
      <c r="A41" s="7"/>
      <c r="B41" s="1" t="s">
        <v>0</v>
      </c>
      <c r="C41" s="121">
        <v>8</v>
      </c>
      <c r="D41" s="121">
        <v>4</v>
      </c>
      <c r="F41" s="7"/>
      <c r="G41" s="7"/>
      <c r="H41" s="8"/>
    </row>
    <row r="42" spans="1:8" ht="12.75" customHeight="1">
      <c r="A42" s="7"/>
      <c r="B42" s="1" t="s">
        <v>31</v>
      </c>
      <c r="C42" s="121">
        <v>6</v>
      </c>
      <c r="D42" s="121">
        <v>7</v>
      </c>
      <c r="F42" s="7"/>
      <c r="G42" s="7"/>
      <c r="H42" s="8"/>
    </row>
    <row r="43" spans="1:8" ht="12.75" customHeight="1">
      <c r="A43" s="7"/>
      <c r="B43" s="1" t="s">
        <v>547</v>
      </c>
      <c r="C43" s="121">
        <v>3</v>
      </c>
      <c r="D43" s="121">
        <v>6</v>
      </c>
      <c r="F43" s="7"/>
      <c r="G43" s="7"/>
      <c r="H43" s="8"/>
    </row>
    <row r="44" spans="1:8" ht="12.75" customHeight="1">
      <c r="A44" s="7"/>
      <c r="B44" s="1" t="s">
        <v>548</v>
      </c>
      <c r="C44" s="121">
        <v>2</v>
      </c>
      <c r="D44" s="121">
        <v>9</v>
      </c>
      <c r="F44" s="7"/>
      <c r="G44" s="7"/>
      <c r="H44" s="8"/>
    </row>
    <row r="45" spans="1:8" ht="12.75" customHeight="1">
      <c r="A45" s="7"/>
      <c r="B45" s="8"/>
      <c r="C45" s="7"/>
      <c r="D45" s="7"/>
      <c r="F45" s="7"/>
      <c r="G45" s="7"/>
      <c r="H45" s="8"/>
    </row>
    <row r="46" spans="1:8" ht="12.75" customHeight="1">
      <c r="A46" s="7"/>
      <c r="B46" s="8"/>
      <c r="C46" s="7"/>
      <c r="D46" s="7"/>
      <c r="F46" s="7"/>
      <c r="G46" s="7"/>
      <c r="H46" s="8"/>
    </row>
    <row r="47" spans="1:8" ht="12.75" customHeight="1">
      <c r="A47" s="7"/>
      <c r="B47" s="8"/>
      <c r="C47" s="7"/>
      <c r="D47" s="7"/>
      <c r="F47" s="7"/>
      <c r="G47" s="7"/>
      <c r="H47" s="8"/>
    </row>
    <row r="48" spans="1:8" ht="12.75" customHeight="1">
      <c r="A48" s="7"/>
      <c r="B48" s="8"/>
      <c r="C48" s="7"/>
      <c r="D48" s="7"/>
      <c r="F48" s="7"/>
      <c r="G48" s="7"/>
      <c r="H48" s="8"/>
    </row>
    <row r="49" ht="12.75" customHeight="1"/>
  </sheetData>
  <sheetProtection/>
  <printOptions/>
  <pageMargins left="0.7" right="0.7" top="0.75" bottom="0.75" header="0.3" footer="0.3"/>
  <pageSetup horizontalDpi="300" verticalDpi="300" orientation="portrait" paperSize="9" r:id="rId1"/>
  <headerFooter>
    <oddHeader>&amp;C&amp;"Times New Roman,Bold"&amp;11 2.1. YFIRLIT YFIR LÍFEYRISSJÓÐI Í STAFRÓFSRÖÐ</oddHeader>
    <oddFooter>&amp;R&amp;"Times New Roman,Regular"6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J101"/>
  <sheetViews>
    <sheetView zoomScaleSheetLayoutView="100" workbookViewId="0" topLeftCell="AM52">
      <selection activeCell="AT68" sqref="AT68"/>
    </sheetView>
  </sheetViews>
  <sheetFormatPr defaultColWidth="9.140625" defaultRowHeight="12.75" customHeight="1"/>
  <cols>
    <col min="1" max="1" width="25.00390625" style="31" bestFit="1" customWidth="1"/>
    <col min="2" max="2" width="2.421875" style="102" customWidth="1"/>
    <col min="3" max="5" width="9.28125" style="33" customWidth="1"/>
    <col min="6" max="6" width="9.8515625" style="33" customWidth="1"/>
    <col min="7" max="15" width="9.28125" style="33" customWidth="1"/>
    <col min="16" max="19" width="8.140625" style="33" customWidth="1"/>
    <col min="20" max="21" width="9.28125" style="33" customWidth="1"/>
    <col min="22" max="26" width="8.140625" style="33" customWidth="1"/>
    <col min="27" max="30" width="9.28125" style="33" customWidth="1"/>
    <col min="31" max="31" width="9.28125" style="31" customWidth="1"/>
    <col min="32" max="33" width="9.28125" style="33" customWidth="1"/>
    <col min="34" max="36" width="8.421875" style="33" customWidth="1"/>
    <col min="37" max="37" width="8.57421875" style="33" customWidth="1"/>
    <col min="38" max="40" width="9.28125" style="33" customWidth="1"/>
    <col min="41" max="41" width="9.57421875" style="31" customWidth="1"/>
    <col min="42" max="43" width="8.421875" style="31" customWidth="1"/>
    <col min="44" max="44" width="10.00390625" style="33" customWidth="1"/>
    <col min="45" max="45" width="3.57421875" style="2" customWidth="1"/>
    <col min="46" max="46" width="8.7109375" style="70" customWidth="1"/>
    <col min="47" max="47" width="9.421875" style="70" customWidth="1"/>
    <col min="48" max="16384" width="9.140625" style="33" customWidth="1"/>
  </cols>
  <sheetData>
    <row r="1" spans="1:48" s="22" customFormat="1" ht="12.75" customHeight="1">
      <c r="A1" s="194"/>
      <c r="B1" s="356"/>
      <c r="C1" s="494" t="s">
        <v>247</v>
      </c>
      <c r="D1" s="494"/>
      <c r="E1" s="494"/>
      <c r="F1" s="492" t="s">
        <v>170</v>
      </c>
      <c r="G1" s="494" t="s">
        <v>25</v>
      </c>
      <c r="H1" s="494"/>
      <c r="I1" s="494"/>
      <c r="J1" s="494" t="s">
        <v>0</v>
      </c>
      <c r="K1" s="494"/>
      <c r="L1" s="494"/>
      <c r="M1" s="494"/>
      <c r="N1" s="494"/>
      <c r="O1" s="494"/>
      <c r="P1" s="494" t="s">
        <v>23</v>
      </c>
      <c r="Q1" s="494"/>
      <c r="R1" s="494"/>
      <c r="S1" s="494"/>
      <c r="T1" s="494" t="s">
        <v>547</v>
      </c>
      <c r="U1" s="494"/>
      <c r="V1" s="494" t="s">
        <v>31</v>
      </c>
      <c r="W1" s="494"/>
      <c r="X1" s="494"/>
      <c r="Y1" s="494"/>
      <c r="Z1" s="494"/>
      <c r="AA1" s="494" t="s">
        <v>246</v>
      </c>
      <c r="AB1" s="494"/>
      <c r="AC1" s="494"/>
      <c r="AD1" s="492" t="s">
        <v>2</v>
      </c>
      <c r="AE1" s="492" t="s">
        <v>24</v>
      </c>
      <c r="AF1" s="494" t="s">
        <v>29</v>
      </c>
      <c r="AG1" s="494"/>
      <c r="AH1" s="494" t="s">
        <v>26</v>
      </c>
      <c r="AI1" s="494"/>
      <c r="AJ1" s="494"/>
      <c r="AK1" s="494"/>
      <c r="AL1" s="494" t="s">
        <v>432</v>
      </c>
      <c r="AM1" s="494"/>
      <c r="AN1" s="494"/>
      <c r="AO1" s="492" t="s">
        <v>30</v>
      </c>
      <c r="AP1" s="494" t="s">
        <v>521</v>
      </c>
      <c r="AQ1" s="494"/>
      <c r="AR1" s="492" t="s">
        <v>169</v>
      </c>
      <c r="AS1" s="358"/>
      <c r="AT1" s="487" t="s">
        <v>250</v>
      </c>
      <c r="AU1" s="355"/>
      <c r="AV1" s="23"/>
    </row>
    <row r="2" spans="1:48" s="25" customFormat="1" ht="12.75" customHeight="1">
      <c r="A2" s="164"/>
      <c r="B2" s="359"/>
      <c r="C2" s="210"/>
      <c r="D2" s="210"/>
      <c r="E2" s="210"/>
      <c r="F2" s="493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493"/>
      <c r="AE2" s="493"/>
      <c r="AF2" s="210"/>
      <c r="AG2" s="210"/>
      <c r="AH2" s="210"/>
      <c r="AI2" s="210"/>
      <c r="AJ2" s="210"/>
      <c r="AK2" s="210"/>
      <c r="AL2" s="210"/>
      <c r="AM2" s="210"/>
      <c r="AN2" s="210"/>
      <c r="AO2" s="493"/>
      <c r="AP2" s="210"/>
      <c r="AQ2" s="210"/>
      <c r="AR2" s="493"/>
      <c r="AS2" s="358"/>
      <c r="AT2" s="487"/>
      <c r="AU2" s="355"/>
      <c r="AV2" s="23"/>
    </row>
    <row r="3" spans="1:48" s="25" customFormat="1" ht="12.75" customHeight="1">
      <c r="A3" s="164"/>
      <c r="B3" s="359"/>
      <c r="C3" s="210"/>
      <c r="D3" s="210"/>
      <c r="E3" s="210"/>
      <c r="F3" s="493" t="s">
        <v>270</v>
      </c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493" t="s">
        <v>270</v>
      </c>
      <c r="AE3" s="493"/>
      <c r="AF3" s="210"/>
      <c r="AG3" s="210"/>
      <c r="AH3" s="210"/>
      <c r="AI3" s="210"/>
      <c r="AJ3" s="210"/>
      <c r="AK3" s="210"/>
      <c r="AL3" s="210"/>
      <c r="AM3" s="210"/>
      <c r="AN3" s="210"/>
      <c r="AO3" s="493" t="s">
        <v>18</v>
      </c>
      <c r="AP3" s="210"/>
      <c r="AQ3" s="210"/>
      <c r="AR3" s="493" t="s">
        <v>270</v>
      </c>
      <c r="AS3" s="358"/>
      <c r="AT3" s="487"/>
      <c r="AU3" s="355"/>
      <c r="AV3" s="23"/>
    </row>
    <row r="4" spans="1:48" s="25" customFormat="1" ht="12.75" customHeight="1">
      <c r="A4" s="164"/>
      <c r="B4" s="359"/>
      <c r="C4" s="484" t="s">
        <v>481</v>
      </c>
      <c r="D4" s="484"/>
      <c r="E4" s="484"/>
      <c r="F4" s="175" t="s">
        <v>511</v>
      </c>
      <c r="G4" s="484" t="s">
        <v>491</v>
      </c>
      <c r="H4" s="484"/>
      <c r="I4" s="484"/>
      <c r="J4" s="484" t="s">
        <v>515</v>
      </c>
      <c r="K4" s="484"/>
      <c r="L4" s="484"/>
      <c r="M4" s="484"/>
      <c r="N4" s="484"/>
      <c r="O4" s="484"/>
      <c r="P4" s="484" t="s">
        <v>482</v>
      </c>
      <c r="Q4" s="484"/>
      <c r="R4" s="484"/>
      <c r="S4" s="484"/>
      <c r="T4" s="484" t="s">
        <v>517</v>
      </c>
      <c r="U4" s="484"/>
      <c r="V4" s="484" t="s">
        <v>490</v>
      </c>
      <c r="W4" s="484"/>
      <c r="X4" s="484"/>
      <c r="Y4" s="484"/>
      <c r="Z4" s="484"/>
      <c r="AA4" s="484" t="s">
        <v>501</v>
      </c>
      <c r="AB4" s="484"/>
      <c r="AC4" s="484"/>
      <c r="AD4" s="175" t="s">
        <v>516</v>
      </c>
      <c r="AE4" s="175" t="s">
        <v>489</v>
      </c>
      <c r="AF4" s="484" t="s">
        <v>496</v>
      </c>
      <c r="AG4" s="484"/>
      <c r="AH4" s="484" t="s">
        <v>494</v>
      </c>
      <c r="AI4" s="484"/>
      <c r="AJ4" s="484"/>
      <c r="AK4" s="484"/>
      <c r="AL4" s="484" t="s">
        <v>510</v>
      </c>
      <c r="AM4" s="484"/>
      <c r="AN4" s="484"/>
      <c r="AO4" s="175" t="s">
        <v>512</v>
      </c>
      <c r="AP4" s="484" t="s">
        <v>508</v>
      </c>
      <c r="AQ4" s="484"/>
      <c r="AR4" s="175" t="s">
        <v>492</v>
      </c>
      <c r="AS4" s="358"/>
      <c r="AT4" s="355"/>
      <c r="AU4" s="355"/>
      <c r="AV4" s="23"/>
    </row>
    <row r="5" spans="1:47" ht="12.75" customHeight="1">
      <c r="A5" s="167"/>
      <c r="B5" s="360"/>
      <c r="C5" s="200" t="s">
        <v>267</v>
      </c>
      <c r="D5" s="200" t="s">
        <v>268</v>
      </c>
      <c r="E5" s="200" t="s">
        <v>269</v>
      </c>
      <c r="F5" s="301"/>
      <c r="G5" s="200" t="s">
        <v>258</v>
      </c>
      <c r="H5" s="200" t="s">
        <v>259</v>
      </c>
      <c r="I5" s="200" t="s">
        <v>260</v>
      </c>
      <c r="J5" s="200" t="s">
        <v>271</v>
      </c>
      <c r="K5" s="200" t="s">
        <v>272</v>
      </c>
      <c r="L5" s="200" t="s">
        <v>273</v>
      </c>
      <c r="M5" s="200" t="s">
        <v>274</v>
      </c>
      <c r="N5" s="200" t="s">
        <v>275</v>
      </c>
      <c r="O5" s="200" t="s">
        <v>276</v>
      </c>
      <c r="P5" s="200" t="s">
        <v>251</v>
      </c>
      <c r="Q5" s="200" t="s">
        <v>252</v>
      </c>
      <c r="R5" s="200" t="s">
        <v>253</v>
      </c>
      <c r="S5" s="200" t="s">
        <v>254</v>
      </c>
      <c r="T5" s="200" t="s">
        <v>265</v>
      </c>
      <c r="U5" s="200" t="s">
        <v>266</v>
      </c>
      <c r="V5" s="200" t="s">
        <v>267</v>
      </c>
      <c r="W5" s="200" t="s">
        <v>268</v>
      </c>
      <c r="X5" s="200" t="s">
        <v>269</v>
      </c>
      <c r="Y5" s="200" t="s">
        <v>277</v>
      </c>
      <c r="Z5" s="200" t="s">
        <v>278</v>
      </c>
      <c r="AA5" s="200" t="s">
        <v>255</v>
      </c>
      <c r="AB5" s="200" t="s">
        <v>256</v>
      </c>
      <c r="AC5" s="200" t="s">
        <v>257</v>
      </c>
      <c r="AD5" s="301"/>
      <c r="AE5" s="200"/>
      <c r="AF5" s="200" t="s">
        <v>18</v>
      </c>
      <c r="AG5" s="200" t="s">
        <v>19</v>
      </c>
      <c r="AH5" s="200" t="s">
        <v>261</v>
      </c>
      <c r="AI5" s="200" t="s">
        <v>262</v>
      </c>
      <c r="AJ5" s="200" t="s">
        <v>263</v>
      </c>
      <c r="AK5" s="200" t="s">
        <v>264</v>
      </c>
      <c r="AL5" s="200" t="s">
        <v>267</v>
      </c>
      <c r="AM5" s="200" t="s">
        <v>268</v>
      </c>
      <c r="AN5" s="200" t="s">
        <v>269</v>
      </c>
      <c r="AO5" s="300"/>
      <c r="AP5" s="200" t="s">
        <v>265</v>
      </c>
      <c r="AQ5" s="200" t="s">
        <v>266</v>
      </c>
      <c r="AR5" s="301"/>
      <c r="AS5" s="361"/>
      <c r="AT5" s="357" t="str">
        <f>+'5.1. Séreignard.'!AT5</f>
        <v>42 deildir</v>
      </c>
      <c r="AU5" s="357"/>
    </row>
    <row r="6" spans="2:47" ht="12.75" customHeight="1">
      <c r="B6" s="61"/>
      <c r="C6" s="30"/>
      <c r="D6" s="30"/>
      <c r="E6" s="30"/>
      <c r="F6" s="55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55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56"/>
      <c r="AP6" s="30"/>
      <c r="AQ6" s="30"/>
      <c r="AR6" s="55"/>
      <c r="AS6" s="62"/>
      <c r="AT6" s="357"/>
      <c r="AU6" s="357"/>
    </row>
    <row r="7" spans="1:48" s="53" customFormat="1" ht="12.75" customHeight="1">
      <c r="A7" s="286" t="s">
        <v>529</v>
      </c>
      <c r="B7" s="360">
        <v>1</v>
      </c>
      <c r="C7" s="365">
        <v>-1.6</v>
      </c>
      <c r="D7" s="365">
        <v>0.2</v>
      </c>
      <c r="E7" s="365">
        <v>6.4</v>
      </c>
      <c r="F7" s="471">
        <f>F70</f>
        <v>1.0938337684055721</v>
      </c>
      <c r="G7" s="471">
        <f>G70</f>
        <v>-2.4313012974801484</v>
      </c>
      <c r="H7" s="471">
        <f>H70</f>
        <v>-0.5096644508459147</v>
      </c>
      <c r="I7" s="471">
        <f>I70</f>
        <v>4.893401486623583</v>
      </c>
      <c r="J7" s="365">
        <v>-1.9</v>
      </c>
      <c r="K7" s="365">
        <v>1.5</v>
      </c>
      <c r="L7" s="365">
        <v>3.3</v>
      </c>
      <c r="M7" s="365">
        <v>5.7</v>
      </c>
      <c r="N7" s="365">
        <v>0.1</v>
      </c>
      <c r="O7" s="365">
        <v>5.4</v>
      </c>
      <c r="P7" s="365">
        <v>-4.2</v>
      </c>
      <c r="Q7" s="365">
        <v>-4</v>
      </c>
      <c r="R7" s="365">
        <v>0.2</v>
      </c>
      <c r="S7" s="365">
        <v>6.5</v>
      </c>
      <c r="T7" s="471">
        <f>T70</f>
        <v>5.577946305599002</v>
      </c>
      <c r="U7" s="471">
        <f>U70</f>
        <v>5.487603820147213</v>
      </c>
      <c r="V7" s="365">
        <v>6.4</v>
      </c>
      <c r="W7" s="365">
        <v>5.5</v>
      </c>
      <c r="X7" s="365">
        <v>1.2</v>
      </c>
      <c r="Y7" s="365">
        <v>-3.4</v>
      </c>
      <c r="Z7" s="365">
        <v>0.9</v>
      </c>
      <c r="AA7" s="365">
        <v>-3.6</v>
      </c>
      <c r="AB7" s="365">
        <v>-0.9</v>
      </c>
      <c r="AC7" s="365">
        <v>5.5</v>
      </c>
      <c r="AD7" s="471">
        <f>AD70</f>
        <v>-1.7416665718337332</v>
      </c>
      <c r="AE7" s="365">
        <v>-0.3</v>
      </c>
      <c r="AF7" s="471">
        <f>AF70</f>
        <v>2.673942883960634</v>
      </c>
      <c r="AG7" s="471">
        <f>AG70</f>
        <v>-0.8913393231600009</v>
      </c>
      <c r="AH7" s="365">
        <v>2.1</v>
      </c>
      <c r="AI7" s="365">
        <v>2</v>
      </c>
      <c r="AJ7" s="365">
        <v>3.3</v>
      </c>
      <c r="AK7" s="365">
        <v>7.8</v>
      </c>
      <c r="AL7" s="471">
        <f aca="true" t="shared" si="0" ref="AL7:AR7">AL70</f>
        <v>-3.602100789917262</v>
      </c>
      <c r="AM7" s="471">
        <f t="shared" si="0"/>
        <v>-1.6223753023674514</v>
      </c>
      <c r="AN7" s="471">
        <f t="shared" si="0"/>
        <v>5.881816061166423</v>
      </c>
      <c r="AO7" s="471">
        <f t="shared" si="0"/>
        <v>2.8904200181624207</v>
      </c>
      <c r="AP7" s="471">
        <f t="shared" si="0"/>
        <v>-9.099824059890317</v>
      </c>
      <c r="AQ7" s="471">
        <f t="shared" si="0"/>
        <v>-6.148787126735533</v>
      </c>
      <c r="AR7" s="471">
        <f t="shared" si="0"/>
        <v>1.127352016240768</v>
      </c>
      <c r="AS7" s="64"/>
      <c r="AT7" s="390">
        <f>+AT70</f>
        <v>-1.5636935985543166</v>
      </c>
      <c r="AU7" s="390"/>
      <c r="AV7" s="65"/>
    </row>
    <row r="8" spans="1:48" s="69" customFormat="1" ht="12.75" customHeight="1">
      <c r="A8" s="368" t="s">
        <v>592</v>
      </c>
      <c r="B8" s="360">
        <v>2</v>
      </c>
      <c r="C8" s="362">
        <v>8</v>
      </c>
      <c r="D8" s="362">
        <v>5.3</v>
      </c>
      <c r="E8" s="362">
        <v>5.5</v>
      </c>
      <c r="F8" s="362">
        <v>10.6</v>
      </c>
      <c r="G8" s="363" t="s">
        <v>597</v>
      </c>
      <c r="H8" s="363" t="s">
        <v>598</v>
      </c>
      <c r="I8" s="363" t="s">
        <v>599</v>
      </c>
      <c r="J8" s="363" t="s">
        <v>586</v>
      </c>
      <c r="K8" s="363" t="s">
        <v>587</v>
      </c>
      <c r="L8" s="363" t="s">
        <v>590</v>
      </c>
      <c r="M8" s="363" t="s">
        <v>591</v>
      </c>
      <c r="N8" s="362">
        <v>7.1</v>
      </c>
      <c r="O8" s="362">
        <v>6.1</v>
      </c>
      <c r="P8" s="362">
        <v>7.5</v>
      </c>
      <c r="Q8" s="362">
        <v>7.9</v>
      </c>
      <c r="R8" s="362">
        <v>6</v>
      </c>
      <c r="S8" s="362">
        <v>5.6</v>
      </c>
      <c r="T8" s="363">
        <v>9.9</v>
      </c>
      <c r="U8" s="363">
        <v>12.8</v>
      </c>
      <c r="V8" s="363" t="s">
        <v>520</v>
      </c>
      <c r="W8" s="363" t="s">
        <v>609</v>
      </c>
      <c r="X8" s="363" t="s">
        <v>610</v>
      </c>
      <c r="Y8" s="363" t="s">
        <v>611</v>
      </c>
      <c r="Z8" s="363" t="s">
        <v>612</v>
      </c>
      <c r="AA8" s="362">
        <v>8.4</v>
      </c>
      <c r="AB8" s="362">
        <v>5.8</v>
      </c>
      <c r="AC8" s="362">
        <v>4.7</v>
      </c>
      <c r="AD8" s="362">
        <v>5.8</v>
      </c>
      <c r="AE8" s="362">
        <v>5.7</v>
      </c>
      <c r="AF8" s="362">
        <v>5.5</v>
      </c>
      <c r="AG8" s="362">
        <v>0</v>
      </c>
      <c r="AH8" s="362">
        <v>9.7</v>
      </c>
      <c r="AI8" s="362">
        <v>8.4</v>
      </c>
      <c r="AJ8" s="362">
        <v>6.2</v>
      </c>
      <c r="AK8" s="363" t="s">
        <v>236</v>
      </c>
      <c r="AL8" s="362">
        <v>8.3</v>
      </c>
      <c r="AM8" s="362">
        <v>5.1</v>
      </c>
      <c r="AN8" s="362">
        <v>5.3</v>
      </c>
      <c r="AO8" s="362">
        <v>15.4</v>
      </c>
      <c r="AP8" s="362">
        <v>4.5</v>
      </c>
      <c r="AQ8" s="362">
        <v>8.8</v>
      </c>
      <c r="AR8" s="362">
        <v>8</v>
      </c>
      <c r="AS8" s="67"/>
      <c r="AT8" s="357"/>
      <c r="AU8" s="357"/>
      <c r="AV8" s="68"/>
    </row>
    <row r="9" spans="1:48" s="69" customFormat="1" ht="12.75" customHeight="1">
      <c r="A9" s="368"/>
      <c r="B9" s="360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6"/>
      <c r="AH9" s="63"/>
      <c r="AI9" s="63"/>
      <c r="AJ9" s="63"/>
      <c r="AK9" s="66"/>
      <c r="AL9" s="63"/>
      <c r="AM9" s="63"/>
      <c r="AN9" s="63"/>
      <c r="AO9" s="63"/>
      <c r="AP9" s="63"/>
      <c r="AQ9" s="63"/>
      <c r="AR9" s="63"/>
      <c r="AS9" s="2"/>
      <c r="AT9" s="180"/>
      <c r="AU9" s="180"/>
      <c r="AV9" s="68"/>
    </row>
    <row r="10" spans="1:56" ht="12.75" customHeight="1">
      <c r="A10" s="223" t="s">
        <v>173</v>
      </c>
      <c r="B10" s="360"/>
      <c r="C10" s="362">
        <v>94.2</v>
      </c>
      <c r="D10" s="362">
        <v>93.1</v>
      </c>
      <c r="E10" s="362">
        <v>0</v>
      </c>
      <c r="F10" s="362">
        <v>51.5</v>
      </c>
      <c r="G10" s="362">
        <v>48.9</v>
      </c>
      <c r="H10" s="362">
        <v>34</v>
      </c>
      <c r="I10" s="362">
        <v>0</v>
      </c>
      <c r="J10" s="362">
        <v>55.4</v>
      </c>
      <c r="K10" s="362">
        <v>35.9</v>
      </c>
      <c r="L10" s="362">
        <v>17.9</v>
      </c>
      <c r="M10" s="362">
        <v>0</v>
      </c>
      <c r="N10" s="362">
        <v>38.6</v>
      </c>
      <c r="O10" s="362">
        <v>0</v>
      </c>
      <c r="P10" s="362">
        <v>64.1</v>
      </c>
      <c r="Q10" s="362">
        <v>61.5</v>
      </c>
      <c r="R10" s="362">
        <v>61</v>
      </c>
      <c r="S10" s="362">
        <v>74.6</v>
      </c>
      <c r="T10" s="362">
        <v>80.5</v>
      </c>
      <c r="U10" s="362">
        <v>84.8</v>
      </c>
      <c r="V10" s="362">
        <v>0</v>
      </c>
      <c r="W10" s="362">
        <v>0</v>
      </c>
      <c r="X10" s="362">
        <v>25.4</v>
      </c>
      <c r="Y10" s="362">
        <v>39.7</v>
      </c>
      <c r="Z10" s="362">
        <v>40.2</v>
      </c>
      <c r="AA10" s="362">
        <v>67.7</v>
      </c>
      <c r="AB10" s="362">
        <v>50.9</v>
      </c>
      <c r="AC10" s="362">
        <v>20.8</v>
      </c>
      <c r="AD10" s="362">
        <v>100</v>
      </c>
      <c r="AE10" s="362">
        <v>100</v>
      </c>
      <c r="AF10" s="362">
        <v>98.4</v>
      </c>
      <c r="AG10" s="362">
        <v>95.1</v>
      </c>
      <c r="AH10" s="362">
        <v>73.1</v>
      </c>
      <c r="AI10" s="362">
        <v>73.5</v>
      </c>
      <c r="AJ10" s="362">
        <v>83.1</v>
      </c>
      <c r="AK10" s="362">
        <v>88.2</v>
      </c>
      <c r="AL10" s="362">
        <v>83.3</v>
      </c>
      <c r="AM10" s="362">
        <v>90</v>
      </c>
      <c r="AN10" s="362">
        <v>0</v>
      </c>
      <c r="AO10" s="362">
        <v>81.7</v>
      </c>
      <c r="AP10" s="362">
        <v>40</v>
      </c>
      <c r="AQ10" s="362">
        <v>50</v>
      </c>
      <c r="AR10" s="362">
        <v>72.2</v>
      </c>
      <c r="AS10" s="71"/>
      <c r="AT10" s="391">
        <f aca="true" t="shared" si="1" ref="AT10:AT15">+AT88/$AT$94*100</f>
        <v>64.71180847875142</v>
      </c>
      <c r="AU10" s="391"/>
      <c r="AV10" s="51"/>
      <c r="AW10" s="51"/>
      <c r="AX10" s="51"/>
      <c r="AY10" s="51"/>
      <c r="AZ10" s="51"/>
      <c r="BA10" s="51"/>
      <c r="BB10" s="51"/>
      <c r="BC10" s="51"/>
      <c r="BD10" s="51"/>
    </row>
    <row r="11" spans="1:56" ht="12.75" customHeight="1">
      <c r="A11" s="174" t="s">
        <v>174</v>
      </c>
      <c r="B11" s="360"/>
      <c r="C11" s="362">
        <v>3.3</v>
      </c>
      <c r="D11" s="362">
        <v>4.6</v>
      </c>
      <c r="E11" s="362">
        <v>0</v>
      </c>
      <c r="F11" s="362">
        <v>30.7</v>
      </c>
      <c r="G11" s="362">
        <v>51.1</v>
      </c>
      <c r="H11" s="362">
        <v>66</v>
      </c>
      <c r="I11" s="362">
        <v>0</v>
      </c>
      <c r="J11" s="362">
        <v>41.3</v>
      </c>
      <c r="K11" s="362">
        <v>59.4</v>
      </c>
      <c r="L11" s="362">
        <v>76.1</v>
      </c>
      <c r="M11" s="362">
        <v>92.6</v>
      </c>
      <c r="N11" s="362">
        <v>56.9</v>
      </c>
      <c r="O11" s="362">
        <v>92.7</v>
      </c>
      <c r="P11" s="362">
        <v>26.2</v>
      </c>
      <c r="Q11" s="362">
        <v>21.9</v>
      </c>
      <c r="R11" s="362">
        <v>25.5</v>
      </c>
      <c r="S11" s="362">
        <v>17.3</v>
      </c>
      <c r="T11" s="362">
        <v>19.5</v>
      </c>
      <c r="U11" s="362">
        <v>15.2</v>
      </c>
      <c r="V11" s="362">
        <v>0</v>
      </c>
      <c r="W11" s="362">
        <v>38</v>
      </c>
      <c r="X11" s="362">
        <v>28.3</v>
      </c>
      <c r="Y11" s="362">
        <v>38.3</v>
      </c>
      <c r="Z11" s="362">
        <v>35.8</v>
      </c>
      <c r="AA11" s="362">
        <v>29.6</v>
      </c>
      <c r="AB11" s="362">
        <v>48</v>
      </c>
      <c r="AC11" s="362">
        <v>69.1</v>
      </c>
      <c r="AD11" s="362">
        <v>0</v>
      </c>
      <c r="AE11" s="362">
        <v>0</v>
      </c>
      <c r="AF11" s="362">
        <v>0</v>
      </c>
      <c r="AG11" s="362">
        <v>0</v>
      </c>
      <c r="AH11" s="362">
        <v>3.1</v>
      </c>
      <c r="AI11" s="362">
        <v>5</v>
      </c>
      <c r="AJ11" s="362">
        <v>2</v>
      </c>
      <c r="AK11" s="362">
        <v>0</v>
      </c>
      <c r="AL11" s="362">
        <v>16.4</v>
      </c>
      <c r="AM11" s="362">
        <v>9.7</v>
      </c>
      <c r="AN11" s="362">
        <v>0</v>
      </c>
      <c r="AO11" s="362">
        <v>18.3</v>
      </c>
      <c r="AP11" s="362">
        <v>60</v>
      </c>
      <c r="AQ11" s="362">
        <v>50</v>
      </c>
      <c r="AR11" s="362">
        <v>5.6</v>
      </c>
      <c r="AS11" s="72"/>
      <c r="AT11" s="391">
        <f t="shared" si="1"/>
        <v>23.8705462277153</v>
      </c>
      <c r="AU11" s="391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1:56" ht="12.75" customHeight="1">
      <c r="A12" s="174" t="s">
        <v>175</v>
      </c>
      <c r="B12" s="360"/>
      <c r="C12" s="362">
        <v>0.7</v>
      </c>
      <c r="D12" s="362">
        <v>0.1</v>
      </c>
      <c r="E12" s="362">
        <v>0</v>
      </c>
      <c r="F12" s="362">
        <v>2.7</v>
      </c>
      <c r="G12" s="362">
        <v>0</v>
      </c>
      <c r="H12" s="362">
        <v>0</v>
      </c>
      <c r="I12" s="362">
        <v>0</v>
      </c>
      <c r="J12" s="362">
        <v>0</v>
      </c>
      <c r="K12" s="362">
        <v>0</v>
      </c>
      <c r="L12" s="362">
        <v>0</v>
      </c>
      <c r="M12" s="362">
        <v>0</v>
      </c>
      <c r="N12" s="362">
        <v>0</v>
      </c>
      <c r="O12" s="362">
        <v>0</v>
      </c>
      <c r="P12" s="362">
        <v>0.7</v>
      </c>
      <c r="Q12" s="362">
        <v>0.9</v>
      </c>
      <c r="R12" s="362">
        <v>3.2</v>
      </c>
      <c r="S12" s="362">
        <v>6.9</v>
      </c>
      <c r="T12" s="362">
        <v>0</v>
      </c>
      <c r="U12" s="362">
        <v>0</v>
      </c>
      <c r="V12" s="362">
        <v>0</v>
      </c>
      <c r="W12" s="362">
        <v>0</v>
      </c>
      <c r="X12" s="362">
        <v>0</v>
      </c>
      <c r="Y12" s="362">
        <v>0</v>
      </c>
      <c r="Z12" s="362">
        <v>6.3</v>
      </c>
      <c r="AA12" s="362">
        <v>0.2</v>
      </c>
      <c r="AB12" s="362">
        <v>0</v>
      </c>
      <c r="AC12" s="362">
        <v>0</v>
      </c>
      <c r="AD12" s="362">
        <v>0</v>
      </c>
      <c r="AE12" s="362">
        <v>0</v>
      </c>
      <c r="AF12" s="362">
        <v>1.6</v>
      </c>
      <c r="AG12" s="362">
        <v>4.9</v>
      </c>
      <c r="AH12" s="362">
        <v>20.7</v>
      </c>
      <c r="AI12" s="362">
        <v>18</v>
      </c>
      <c r="AJ12" s="362">
        <v>9</v>
      </c>
      <c r="AK12" s="362">
        <v>3.5</v>
      </c>
      <c r="AL12" s="362">
        <v>0.3</v>
      </c>
      <c r="AM12" s="362">
        <v>0.3</v>
      </c>
      <c r="AN12" s="362">
        <v>0</v>
      </c>
      <c r="AO12" s="362">
        <v>0</v>
      </c>
      <c r="AP12" s="362">
        <v>0</v>
      </c>
      <c r="AQ12" s="362">
        <v>0</v>
      </c>
      <c r="AR12" s="362">
        <v>16.8</v>
      </c>
      <c r="AS12" s="73"/>
      <c r="AT12" s="391">
        <f t="shared" si="1"/>
        <v>3.6205345677399143</v>
      </c>
      <c r="AU12" s="391"/>
      <c r="AV12" s="51"/>
      <c r="AW12" s="51"/>
      <c r="AX12" s="51"/>
      <c r="AY12" s="51"/>
      <c r="AZ12" s="51"/>
      <c r="BA12" s="51"/>
      <c r="BB12" s="51"/>
      <c r="BC12" s="51"/>
      <c r="BD12" s="51"/>
    </row>
    <row r="13" spans="1:56" ht="12.75" customHeight="1">
      <c r="A13" s="174" t="s">
        <v>176</v>
      </c>
      <c r="B13" s="360"/>
      <c r="C13" s="362">
        <v>1.8</v>
      </c>
      <c r="D13" s="362">
        <v>2.2</v>
      </c>
      <c r="E13" s="362">
        <v>0</v>
      </c>
      <c r="F13" s="362">
        <v>1.6</v>
      </c>
      <c r="G13" s="362">
        <v>0</v>
      </c>
      <c r="H13" s="362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362">
        <v>0</v>
      </c>
      <c r="O13" s="362">
        <v>0</v>
      </c>
      <c r="P13" s="362">
        <v>2.8</v>
      </c>
      <c r="Q13" s="362">
        <v>3.1</v>
      </c>
      <c r="R13" s="362">
        <v>2.5</v>
      </c>
      <c r="S13" s="362">
        <v>1.2</v>
      </c>
      <c r="T13" s="362">
        <v>0</v>
      </c>
      <c r="U13" s="362">
        <v>0</v>
      </c>
      <c r="V13" s="362">
        <v>0</v>
      </c>
      <c r="W13" s="362">
        <v>4</v>
      </c>
      <c r="X13" s="362">
        <v>3</v>
      </c>
      <c r="Y13" s="362">
        <v>22</v>
      </c>
      <c r="Z13" s="362">
        <v>1.7</v>
      </c>
      <c r="AA13" s="362">
        <v>1.3</v>
      </c>
      <c r="AB13" s="362">
        <v>1.1</v>
      </c>
      <c r="AC13" s="362">
        <v>10.1</v>
      </c>
      <c r="AD13" s="362">
        <v>0</v>
      </c>
      <c r="AE13" s="362">
        <v>0</v>
      </c>
      <c r="AF13" s="362">
        <v>0</v>
      </c>
      <c r="AG13" s="362">
        <v>0</v>
      </c>
      <c r="AH13" s="362">
        <v>3.1</v>
      </c>
      <c r="AI13" s="362">
        <v>3.5</v>
      </c>
      <c r="AJ13" s="362">
        <v>5.9</v>
      </c>
      <c r="AK13" s="362">
        <v>5.3</v>
      </c>
      <c r="AL13" s="362">
        <v>0</v>
      </c>
      <c r="AM13" s="362">
        <v>0</v>
      </c>
      <c r="AN13" s="362">
        <v>0</v>
      </c>
      <c r="AO13" s="362">
        <v>0</v>
      </c>
      <c r="AP13" s="362">
        <v>0</v>
      </c>
      <c r="AQ13" s="362">
        <v>0</v>
      </c>
      <c r="AR13" s="362">
        <v>2.9</v>
      </c>
      <c r="AS13" s="73"/>
      <c r="AT13" s="391">
        <f t="shared" si="1"/>
        <v>2.515841866177446</v>
      </c>
      <c r="AU13" s="391"/>
      <c r="AV13" s="51"/>
      <c r="AW13" s="51"/>
      <c r="AX13" s="51"/>
      <c r="AY13" s="51"/>
      <c r="AZ13" s="51"/>
      <c r="BA13" s="51"/>
      <c r="BB13" s="51"/>
      <c r="BC13" s="51"/>
      <c r="BD13" s="51"/>
    </row>
    <row r="14" spans="1:56" ht="12.75" customHeight="1">
      <c r="A14" s="174" t="s">
        <v>177</v>
      </c>
      <c r="B14" s="360"/>
      <c r="C14" s="362">
        <v>0</v>
      </c>
      <c r="D14" s="362">
        <v>0</v>
      </c>
      <c r="E14" s="362">
        <v>0</v>
      </c>
      <c r="F14" s="362">
        <v>13.5</v>
      </c>
      <c r="G14" s="362">
        <v>0</v>
      </c>
      <c r="H14" s="362">
        <v>0</v>
      </c>
      <c r="I14" s="362">
        <v>0</v>
      </c>
      <c r="J14" s="362">
        <v>3.3</v>
      </c>
      <c r="K14" s="362">
        <v>4.7</v>
      </c>
      <c r="L14" s="362">
        <v>6</v>
      </c>
      <c r="M14" s="362">
        <v>7.4</v>
      </c>
      <c r="N14" s="362">
        <v>4.5</v>
      </c>
      <c r="O14" s="362">
        <v>7.3</v>
      </c>
      <c r="P14" s="362">
        <v>6.2</v>
      </c>
      <c r="Q14" s="362">
        <v>12.6</v>
      </c>
      <c r="R14" s="362">
        <v>7.8</v>
      </c>
      <c r="S14" s="362">
        <v>0</v>
      </c>
      <c r="T14" s="362">
        <v>0</v>
      </c>
      <c r="U14" s="362">
        <v>0</v>
      </c>
      <c r="V14" s="362">
        <v>0</v>
      </c>
      <c r="W14" s="362">
        <v>58</v>
      </c>
      <c r="X14" s="362">
        <v>43.3</v>
      </c>
      <c r="Y14" s="362">
        <v>0</v>
      </c>
      <c r="Z14" s="362">
        <v>13.3</v>
      </c>
      <c r="AA14" s="362">
        <v>1.2</v>
      </c>
      <c r="AB14" s="362">
        <v>0</v>
      </c>
      <c r="AC14" s="362">
        <v>0</v>
      </c>
      <c r="AD14" s="362">
        <v>0</v>
      </c>
      <c r="AE14" s="362">
        <v>0</v>
      </c>
      <c r="AF14" s="362">
        <v>0</v>
      </c>
      <c r="AG14" s="362">
        <v>0</v>
      </c>
      <c r="AH14" s="362">
        <v>0</v>
      </c>
      <c r="AI14" s="362">
        <v>0</v>
      </c>
      <c r="AJ14" s="362">
        <v>0</v>
      </c>
      <c r="AK14" s="362">
        <v>0</v>
      </c>
      <c r="AL14" s="362">
        <v>0</v>
      </c>
      <c r="AM14" s="362">
        <v>0</v>
      </c>
      <c r="AN14" s="362">
        <v>0</v>
      </c>
      <c r="AO14" s="362">
        <v>0</v>
      </c>
      <c r="AP14" s="362">
        <v>0</v>
      </c>
      <c r="AQ14" s="362">
        <v>0</v>
      </c>
      <c r="AR14" s="362">
        <v>2.5</v>
      </c>
      <c r="AS14" s="73"/>
      <c r="AT14" s="391">
        <f t="shared" si="1"/>
        <v>4.807218473139182</v>
      </c>
      <c r="AU14" s="391"/>
      <c r="AV14" s="51"/>
      <c r="AW14" s="51"/>
      <c r="AX14" s="51"/>
      <c r="AY14" s="51"/>
      <c r="AZ14" s="51"/>
      <c r="BA14" s="51"/>
      <c r="BB14" s="51"/>
      <c r="BC14" s="51"/>
      <c r="BD14" s="51"/>
    </row>
    <row r="15" spans="1:56" ht="12.75" customHeight="1">
      <c r="A15" s="174" t="s">
        <v>178</v>
      </c>
      <c r="B15" s="360"/>
      <c r="C15" s="362">
        <v>0</v>
      </c>
      <c r="D15" s="362">
        <v>0</v>
      </c>
      <c r="E15" s="362">
        <v>100</v>
      </c>
      <c r="F15" s="362">
        <v>0</v>
      </c>
      <c r="G15" s="362">
        <v>0</v>
      </c>
      <c r="H15" s="362">
        <v>0</v>
      </c>
      <c r="I15" s="362">
        <v>100</v>
      </c>
      <c r="J15" s="362">
        <v>0</v>
      </c>
      <c r="K15" s="362">
        <v>0</v>
      </c>
      <c r="L15" s="362">
        <v>0</v>
      </c>
      <c r="M15" s="362">
        <v>0</v>
      </c>
      <c r="N15" s="362">
        <v>0</v>
      </c>
      <c r="O15" s="362">
        <v>0</v>
      </c>
      <c r="P15" s="362">
        <v>0</v>
      </c>
      <c r="Q15" s="362">
        <v>0</v>
      </c>
      <c r="R15" s="362">
        <v>0</v>
      </c>
      <c r="S15" s="362">
        <v>0</v>
      </c>
      <c r="T15" s="362">
        <v>0</v>
      </c>
      <c r="U15" s="362">
        <v>0</v>
      </c>
      <c r="V15" s="362">
        <v>100</v>
      </c>
      <c r="W15" s="362">
        <v>0</v>
      </c>
      <c r="X15" s="362">
        <v>0</v>
      </c>
      <c r="Y15" s="362">
        <v>0</v>
      </c>
      <c r="Z15" s="362">
        <v>2.7</v>
      </c>
      <c r="AA15" s="362">
        <v>0</v>
      </c>
      <c r="AB15" s="362">
        <v>0</v>
      </c>
      <c r="AC15" s="362">
        <v>0</v>
      </c>
      <c r="AD15" s="362">
        <v>0</v>
      </c>
      <c r="AE15" s="362">
        <v>0</v>
      </c>
      <c r="AF15" s="362">
        <v>0</v>
      </c>
      <c r="AG15" s="362">
        <v>0</v>
      </c>
      <c r="AH15" s="362">
        <v>0</v>
      </c>
      <c r="AI15" s="362">
        <v>0</v>
      </c>
      <c r="AJ15" s="362">
        <v>0</v>
      </c>
      <c r="AK15" s="362">
        <v>3</v>
      </c>
      <c r="AL15" s="362">
        <v>0</v>
      </c>
      <c r="AM15" s="362">
        <v>0</v>
      </c>
      <c r="AN15" s="362">
        <v>100</v>
      </c>
      <c r="AO15" s="362">
        <v>0</v>
      </c>
      <c r="AP15" s="362">
        <v>0</v>
      </c>
      <c r="AQ15" s="362">
        <v>0</v>
      </c>
      <c r="AR15" s="362">
        <v>0</v>
      </c>
      <c r="AS15" s="73"/>
      <c r="AT15" s="391">
        <f t="shared" si="1"/>
        <v>0.4740503864767379</v>
      </c>
      <c r="AU15" s="391"/>
      <c r="AV15" s="51"/>
      <c r="AW15" s="51"/>
      <c r="AX15" s="51"/>
      <c r="AY15" s="51"/>
      <c r="AZ15" s="51"/>
      <c r="BA15" s="51"/>
      <c r="BB15" s="51"/>
      <c r="BC15" s="51"/>
      <c r="BD15" s="51"/>
    </row>
    <row r="16" spans="1:48" s="77" customFormat="1" ht="12.75" customHeight="1">
      <c r="A16" s="369" t="s">
        <v>179</v>
      </c>
      <c r="B16" s="360">
        <v>3</v>
      </c>
      <c r="C16" s="367">
        <f aca="true" t="shared" si="2" ref="C16:AR16">SUM(C10:C15)</f>
        <v>100</v>
      </c>
      <c r="D16" s="367">
        <f t="shared" si="2"/>
        <v>99.99999999999999</v>
      </c>
      <c r="E16" s="367">
        <f t="shared" si="2"/>
        <v>100</v>
      </c>
      <c r="F16" s="367">
        <f t="shared" si="2"/>
        <v>100</v>
      </c>
      <c r="G16" s="367">
        <f t="shared" si="2"/>
        <v>100</v>
      </c>
      <c r="H16" s="367">
        <f t="shared" si="2"/>
        <v>100</v>
      </c>
      <c r="I16" s="367">
        <f t="shared" si="2"/>
        <v>100</v>
      </c>
      <c r="J16" s="367">
        <f t="shared" si="2"/>
        <v>99.99999999999999</v>
      </c>
      <c r="K16" s="367">
        <f t="shared" si="2"/>
        <v>100</v>
      </c>
      <c r="L16" s="367">
        <f t="shared" si="2"/>
        <v>100</v>
      </c>
      <c r="M16" s="367">
        <f t="shared" si="2"/>
        <v>100</v>
      </c>
      <c r="N16" s="367">
        <f t="shared" si="2"/>
        <v>100</v>
      </c>
      <c r="O16" s="367">
        <f t="shared" si="2"/>
        <v>100</v>
      </c>
      <c r="P16" s="367">
        <f t="shared" si="2"/>
        <v>100</v>
      </c>
      <c r="Q16" s="367">
        <f t="shared" si="2"/>
        <v>100</v>
      </c>
      <c r="R16" s="367">
        <f t="shared" si="2"/>
        <v>100</v>
      </c>
      <c r="S16" s="367">
        <f t="shared" si="2"/>
        <v>100</v>
      </c>
      <c r="T16" s="367">
        <f>SUM(T10:T15)</f>
        <v>100</v>
      </c>
      <c r="U16" s="367">
        <f>SUM(U10:U15)</f>
        <v>100</v>
      </c>
      <c r="V16" s="367">
        <f t="shared" si="2"/>
        <v>100</v>
      </c>
      <c r="W16" s="367">
        <f t="shared" si="2"/>
        <v>100</v>
      </c>
      <c r="X16" s="367">
        <f t="shared" si="2"/>
        <v>100</v>
      </c>
      <c r="Y16" s="367">
        <f t="shared" si="2"/>
        <v>100</v>
      </c>
      <c r="Z16" s="367">
        <f t="shared" si="2"/>
        <v>100</v>
      </c>
      <c r="AA16" s="367">
        <f t="shared" si="2"/>
        <v>100.00000000000001</v>
      </c>
      <c r="AB16" s="367">
        <f t="shared" si="2"/>
        <v>100</v>
      </c>
      <c r="AC16" s="367">
        <f t="shared" si="2"/>
        <v>99.99999999999999</v>
      </c>
      <c r="AD16" s="367">
        <f t="shared" si="2"/>
        <v>100</v>
      </c>
      <c r="AE16" s="367">
        <f t="shared" si="2"/>
        <v>100</v>
      </c>
      <c r="AF16" s="367">
        <f t="shared" si="2"/>
        <v>100</v>
      </c>
      <c r="AG16" s="367">
        <f t="shared" si="2"/>
        <v>100</v>
      </c>
      <c r="AH16" s="367">
        <f>SUM(AH10:AH15)</f>
        <v>99.99999999999999</v>
      </c>
      <c r="AI16" s="367">
        <f>SUM(AI10:AI15)</f>
        <v>100</v>
      </c>
      <c r="AJ16" s="367">
        <f>SUM(AJ10:AJ15)</f>
        <v>100</v>
      </c>
      <c r="AK16" s="367">
        <f>SUM(AK10:AK15)</f>
        <v>100</v>
      </c>
      <c r="AL16" s="367">
        <f t="shared" si="2"/>
        <v>99.99999999999999</v>
      </c>
      <c r="AM16" s="367">
        <f t="shared" si="2"/>
        <v>100</v>
      </c>
      <c r="AN16" s="367">
        <f t="shared" si="2"/>
        <v>100</v>
      </c>
      <c r="AO16" s="367">
        <f>SUM(AO10:AO15)</f>
        <v>100</v>
      </c>
      <c r="AP16" s="367">
        <f t="shared" si="2"/>
        <v>100</v>
      </c>
      <c r="AQ16" s="367">
        <f t="shared" si="2"/>
        <v>100</v>
      </c>
      <c r="AR16" s="367">
        <f t="shared" si="2"/>
        <v>100</v>
      </c>
      <c r="AS16" s="73"/>
      <c r="AT16" s="392">
        <f>SUM(AT10:AT15)</f>
        <v>100</v>
      </c>
      <c r="AU16" s="392"/>
      <c r="AV16" s="76"/>
    </row>
    <row r="17" spans="1:48" s="77" customFormat="1" ht="12.75" customHeight="1">
      <c r="A17" s="74"/>
      <c r="B17" s="61"/>
      <c r="C17" s="66"/>
      <c r="D17" s="66"/>
      <c r="E17" s="63"/>
      <c r="F17" s="63"/>
      <c r="G17" s="63"/>
      <c r="H17" s="63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3"/>
      <c r="T17" s="66"/>
      <c r="U17" s="66"/>
      <c r="V17" s="63"/>
      <c r="W17" s="63"/>
      <c r="X17" s="63"/>
      <c r="Y17" s="63"/>
      <c r="Z17" s="63"/>
      <c r="AA17" s="66"/>
      <c r="AB17" s="66"/>
      <c r="AC17" s="63"/>
      <c r="AD17" s="66"/>
      <c r="AE17" s="63"/>
      <c r="AF17" s="66"/>
      <c r="AG17" s="66"/>
      <c r="AH17" s="63"/>
      <c r="AI17" s="63"/>
      <c r="AJ17" s="63"/>
      <c r="AK17" s="63"/>
      <c r="AL17" s="66"/>
      <c r="AM17" s="66"/>
      <c r="AN17" s="66"/>
      <c r="AO17" s="66"/>
      <c r="AP17" s="66"/>
      <c r="AQ17" s="66"/>
      <c r="AR17" s="66"/>
      <c r="AS17" s="73"/>
      <c r="AT17" s="391"/>
      <c r="AU17" s="391"/>
      <c r="AV17" s="76"/>
    </row>
    <row r="18" spans="1:53" ht="12.75" customHeight="1">
      <c r="A18" s="223" t="s">
        <v>180</v>
      </c>
      <c r="B18" s="360"/>
      <c r="C18" s="180">
        <v>69.7</v>
      </c>
      <c r="D18" s="180">
        <v>82.7</v>
      </c>
      <c r="E18" s="180">
        <v>100</v>
      </c>
      <c r="F18" s="180">
        <v>67.6</v>
      </c>
      <c r="G18" s="180">
        <v>74</v>
      </c>
      <c r="H18" s="180">
        <v>82</v>
      </c>
      <c r="I18" s="180">
        <v>100</v>
      </c>
      <c r="J18" s="180">
        <v>70</v>
      </c>
      <c r="K18" s="180">
        <v>80</v>
      </c>
      <c r="L18" s="180">
        <v>92.5</v>
      </c>
      <c r="M18" s="180">
        <v>100</v>
      </c>
      <c r="N18" s="180">
        <v>75</v>
      </c>
      <c r="O18" s="180">
        <v>100</v>
      </c>
      <c r="P18" s="180">
        <v>60.1</v>
      </c>
      <c r="Q18" s="180">
        <v>66.3</v>
      </c>
      <c r="R18" s="180">
        <v>87.3</v>
      </c>
      <c r="S18" s="180">
        <v>99.8</v>
      </c>
      <c r="T18" s="180">
        <v>14.6</v>
      </c>
      <c r="U18" s="180">
        <v>30.2</v>
      </c>
      <c r="V18" s="180">
        <v>100</v>
      </c>
      <c r="W18" s="180">
        <v>100</v>
      </c>
      <c r="X18" s="180">
        <v>98</v>
      </c>
      <c r="Y18" s="180">
        <v>98</v>
      </c>
      <c r="Z18" s="180">
        <v>76.4</v>
      </c>
      <c r="AA18" s="180">
        <v>67.5</v>
      </c>
      <c r="AB18" s="180">
        <v>88.2</v>
      </c>
      <c r="AC18" s="180">
        <v>100</v>
      </c>
      <c r="AD18" s="180">
        <v>79.8</v>
      </c>
      <c r="AE18" s="180">
        <v>79.7</v>
      </c>
      <c r="AF18" s="180">
        <v>100</v>
      </c>
      <c r="AG18" s="180">
        <v>73.3</v>
      </c>
      <c r="AH18" s="180">
        <v>63.9</v>
      </c>
      <c r="AI18" s="180">
        <v>74.7</v>
      </c>
      <c r="AJ18" s="180">
        <v>88.2</v>
      </c>
      <c r="AK18" s="180">
        <v>100</v>
      </c>
      <c r="AL18" s="180">
        <v>100</v>
      </c>
      <c r="AM18" s="180">
        <v>100</v>
      </c>
      <c r="AN18" s="180">
        <v>100</v>
      </c>
      <c r="AO18" s="180">
        <v>95.8</v>
      </c>
      <c r="AP18" s="180">
        <v>70</v>
      </c>
      <c r="AQ18" s="180">
        <v>60</v>
      </c>
      <c r="AR18" s="180">
        <v>70.1</v>
      </c>
      <c r="AS18" s="78"/>
      <c r="AT18" s="391">
        <f>+AT98/AT86*100</f>
        <v>71.51992930407123</v>
      </c>
      <c r="AU18" s="391"/>
      <c r="AV18" s="51"/>
      <c r="AW18" s="51"/>
      <c r="AX18" s="51"/>
      <c r="AY18" s="51"/>
      <c r="AZ18" s="51"/>
      <c r="BA18" s="51"/>
    </row>
    <row r="19" spans="1:53" ht="12.75" customHeight="1">
      <c r="A19" s="174" t="s">
        <v>181</v>
      </c>
      <c r="B19" s="360"/>
      <c r="C19" s="180">
        <v>30.3</v>
      </c>
      <c r="D19" s="180">
        <v>17.3</v>
      </c>
      <c r="E19" s="180">
        <v>0</v>
      </c>
      <c r="F19" s="180">
        <v>32.4</v>
      </c>
      <c r="G19" s="180">
        <v>26</v>
      </c>
      <c r="H19" s="180">
        <v>18</v>
      </c>
      <c r="I19" s="180">
        <v>0</v>
      </c>
      <c r="J19" s="180">
        <v>30</v>
      </c>
      <c r="K19" s="180">
        <v>20</v>
      </c>
      <c r="L19" s="180">
        <v>7.5</v>
      </c>
      <c r="M19" s="180">
        <v>0</v>
      </c>
      <c r="N19" s="180">
        <v>25</v>
      </c>
      <c r="O19" s="180">
        <v>0</v>
      </c>
      <c r="P19" s="180">
        <v>39.9</v>
      </c>
      <c r="Q19" s="180">
        <v>33.7</v>
      </c>
      <c r="R19" s="180">
        <v>12.7</v>
      </c>
      <c r="S19" s="180">
        <v>0.2</v>
      </c>
      <c r="T19" s="180">
        <v>85.4</v>
      </c>
      <c r="U19" s="180">
        <v>69.8</v>
      </c>
      <c r="V19" s="180">
        <v>0</v>
      </c>
      <c r="W19" s="180">
        <v>0</v>
      </c>
      <c r="X19" s="180">
        <v>2</v>
      </c>
      <c r="Y19" s="180">
        <v>2</v>
      </c>
      <c r="Z19" s="180">
        <v>23.6</v>
      </c>
      <c r="AA19" s="180">
        <v>32.5</v>
      </c>
      <c r="AB19" s="180">
        <v>11.8</v>
      </c>
      <c r="AC19" s="180">
        <v>0</v>
      </c>
      <c r="AD19" s="180">
        <v>20.2</v>
      </c>
      <c r="AE19" s="180">
        <v>20.3</v>
      </c>
      <c r="AF19" s="180">
        <v>0</v>
      </c>
      <c r="AG19" s="180">
        <v>26.7</v>
      </c>
      <c r="AH19" s="180">
        <v>36.1</v>
      </c>
      <c r="AI19" s="180">
        <v>25.3</v>
      </c>
      <c r="AJ19" s="180">
        <v>11.8</v>
      </c>
      <c r="AK19" s="180">
        <v>0</v>
      </c>
      <c r="AL19" s="180">
        <v>0</v>
      </c>
      <c r="AM19" s="180">
        <v>0</v>
      </c>
      <c r="AN19" s="180">
        <v>0</v>
      </c>
      <c r="AO19" s="180">
        <v>4.2</v>
      </c>
      <c r="AP19" s="180">
        <v>30</v>
      </c>
      <c r="AQ19" s="180">
        <v>40</v>
      </c>
      <c r="AR19" s="180">
        <v>29.9</v>
      </c>
      <c r="AS19" s="73"/>
      <c r="AT19" s="391">
        <f>+AT99/AT86*100</f>
        <v>28.480070695928788</v>
      </c>
      <c r="AU19" s="391"/>
      <c r="AV19" s="51"/>
      <c r="AW19" s="51"/>
      <c r="AX19" s="51"/>
      <c r="AY19" s="51"/>
      <c r="AZ19" s="51"/>
      <c r="BA19" s="51"/>
    </row>
    <row r="20" spans="1:48" s="77" customFormat="1" ht="12.75" customHeight="1">
      <c r="A20" s="369" t="s">
        <v>282</v>
      </c>
      <c r="B20" s="360">
        <v>4</v>
      </c>
      <c r="C20" s="367">
        <f aca="true" t="shared" si="3" ref="C20:AR20">SUM(C18:C19)</f>
        <v>100</v>
      </c>
      <c r="D20" s="367">
        <f t="shared" si="3"/>
        <v>100</v>
      </c>
      <c r="E20" s="367">
        <f t="shared" si="3"/>
        <v>100</v>
      </c>
      <c r="F20" s="367">
        <f t="shared" si="3"/>
        <v>100</v>
      </c>
      <c r="G20" s="367">
        <f t="shared" si="3"/>
        <v>100</v>
      </c>
      <c r="H20" s="367">
        <f t="shared" si="3"/>
        <v>100</v>
      </c>
      <c r="I20" s="367">
        <f t="shared" si="3"/>
        <v>100</v>
      </c>
      <c r="J20" s="367">
        <f t="shared" si="3"/>
        <v>100</v>
      </c>
      <c r="K20" s="367">
        <f t="shared" si="3"/>
        <v>100</v>
      </c>
      <c r="L20" s="367">
        <f t="shared" si="3"/>
        <v>100</v>
      </c>
      <c r="M20" s="367">
        <f t="shared" si="3"/>
        <v>100</v>
      </c>
      <c r="N20" s="367">
        <f t="shared" si="3"/>
        <v>100</v>
      </c>
      <c r="O20" s="367">
        <f t="shared" si="3"/>
        <v>100</v>
      </c>
      <c r="P20" s="367">
        <f t="shared" si="3"/>
        <v>100</v>
      </c>
      <c r="Q20" s="367">
        <f t="shared" si="3"/>
        <v>100</v>
      </c>
      <c r="R20" s="367">
        <f t="shared" si="3"/>
        <v>100</v>
      </c>
      <c r="S20" s="367">
        <f t="shared" si="3"/>
        <v>100</v>
      </c>
      <c r="T20" s="367">
        <f>SUM(T18:T19)</f>
        <v>100</v>
      </c>
      <c r="U20" s="367">
        <f>SUM(U18:U19)</f>
        <v>100</v>
      </c>
      <c r="V20" s="367">
        <f t="shared" si="3"/>
        <v>100</v>
      </c>
      <c r="W20" s="367">
        <f t="shared" si="3"/>
        <v>100</v>
      </c>
      <c r="X20" s="367">
        <f t="shared" si="3"/>
        <v>100</v>
      </c>
      <c r="Y20" s="367">
        <f t="shared" si="3"/>
        <v>100</v>
      </c>
      <c r="Z20" s="367">
        <f t="shared" si="3"/>
        <v>100</v>
      </c>
      <c r="AA20" s="367">
        <f t="shared" si="3"/>
        <v>100</v>
      </c>
      <c r="AB20" s="367">
        <f t="shared" si="3"/>
        <v>100</v>
      </c>
      <c r="AC20" s="367">
        <f t="shared" si="3"/>
        <v>100</v>
      </c>
      <c r="AD20" s="367">
        <f t="shared" si="3"/>
        <v>100</v>
      </c>
      <c r="AE20" s="367">
        <f t="shared" si="3"/>
        <v>100</v>
      </c>
      <c r="AF20" s="367">
        <f t="shared" si="3"/>
        <v>100</v>
      </c>
      <c r="AG20" s="367">
        <f t="shared" si="3"/>
        <v>100</v>
      </c>
      <c r="AH20" s="367">
        <f>SUM(AH18:AH19)</f>
        <v>100</v>
      </c>
      <c r="AI20" s="367">
        <f>SUM(AI18:AI19)</f>
        <v>100</v>
      </c>
      <c r="AJ20" s="367">
        <f>SUM(AJ18:AJ19)</f>
        <v>100</v>
      </c>
      <c r="AK20" s="367">
        <f>SUM(AK18:AK19)</f>
        <v>100</v>
      </c>
      <c r="AL20" s="367">
        <f t="shared" si="3"/>
        <v>100</v>
      </c>
      <c r="AM20" s="367">
        <f t="shared" si="3"/>
        <v>100</v>
      </c>
      <c r="AN20" s="367">
        <f t="shared" si="3"/>
        <v>100</v>
      </c>
      <c r="AO20" s="367">
        <f>SUM(AO18:AO19)</f>
        <v>100</v>
      </c>
      <c r="AP20" s="367">
        <f t="shared" si="3"/>
        <v>100</v>
      </c>
      <c r="AQ20" s="367">
        <f t="shared" si="3"/>
        <v>100</v>
      </c>
      <c r="AR20" s="367">
        <f t="shared" si="3"/>
        <v>100</v>
      </c>
      <c r="AS20" s="73"/>
      <c r="AT20" s="392">
        <f>SUM(AT18:AT19)</f>
        <v>100.00000000000001</v>
      </c>
      <c r="AU20" s="392"/>
      <c r="AV20" s="76"/>
    </row>
    <row r="21" spans="1:48" s="77" customFormat="1" ht="12.75" customHeight="1">
      <c r="A21" s="74"/>
      <c r="B21" s="61"/>
      <c r="C21" s="63"/>
      <c r="D21" s="63"/>
      <c r="E21" s="66"/>
      <c r="F21" s="63"/>
      <c r="G21" s="63"/>
      <c r="H21" s="63"/>
      <c r="I21" s="63"/>
      <c r="J21" s="63"/>
      <c r="K21" s="63"/>
      <c r="L21" s="63"/>
      <c r="M21" s="63"/>
      <c r="N21" s="63"/>
      <c r="O21" s="66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6"/>
      <c r="AD21" s="63"/>
      <c r="AE21" s="63"/>
      <c r="AF21" s="66"/>
      <c r="AG21" s="63"/>
      <c r="AH21" s="63"/>
      <c r="AI21" s="63"/>
      <c r="AJ21" s="63"/>
      <c r="AK21" s="66"/>
      <c r="AL21" s="66"/>
      <c r="AM21" s="66"/>
      <c r="AN21" s="66"/>
      <c r="AO21" s="63"/>
      <c r="AP21" s="63"/>
      <c r="AQ21" s="63"/>
      <c r="AR21" s="63"/>
      <c r="AS21" s="78"/>
      <c r="AT21" s="393"/>
      <c r="AU21" s="393"/>
      <c r="AV21" s="76"/>
    </row>
    <row r="22" spans="1:48" s="27" customFormat="1" ht="12.75" customHeight="1">
      <c r="A22" s="174" t="s">
        <v>183</v>
      </c>
      <c r="B22" s="360">
        <v>5</v>
      </c>
      <c r="C22" s="180">
        <v>2230</v>
      </c>
      <c r="D22" s="180">
        <v>832</v>
      </c>
      <c r="E22" s="180">
        <v>250</v>
      </c>
      <c r="F22" s="180">
        <v>2843</v>
      </c>
      <c r="G22" s="180">
        <v>459</v>
      </c>
      <c r="H22" s="180">
        <v>733</v>
      </c>
      <c r="I22" s="180">
        <v>8</v>
      </c>
      <c r="J22" s="180">
        <v>52</v>
      </c>
      <c r="K22" s="180">
        <v>141</v>
      </c>
      <c r="L22" s="180">
        <v>60</v>
      </c>
      <c r="M22" s="180">
        <v>3</v>
      </c>
      <c r="N22" s="180">
        <v>236</v>
      </c>
      <c r="O22" s="180">
        <v>1598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180">
        <v>0</v>
      </c>
      <c r="V22" s="180">
        <v>23</v>
      </c>
      <c r="W22" s="180">
        <v>844</v>
      </c>
      <c r="X22" s="180">
        <v>54</v>
      </c>
      <c r="Y22" s="180">
        <v>175</v>
      </c>
      <c r="Z22" s="180">
        <v>604</v>
      </c>
      <c r="AA22" s="180">
        <v>11041</v>
      </c>
      <c r="AB22" s="180">
        <v>756</v>
      </c>
      <c r="AC22" s="180">
        <v>998</v>
      </c>
      <c r="AD22" s="180">
        <v>5503</v>
      </c>
      <c r="AE22" s="180">
        <v>156</v>
      </c>
      <c r="AF22" s="180">
        <v>2314</v>
      </c>
      <c r="AG22" s="180">
        <v>270</v>
      </c>
      <c r="AH22" s="180">
        <v>18813</v>
      </c>
      <c r="AI22" s="180">
        <v>5985</v>
      </c>
      <c r="AJ22" s="180">
        <v>3058</v>
      </c>
      <c r="AK22" s="180">
        <v>3406</v>
      </c>
      <c r="AL22" s="180">
        <v>703</v>
      </c>
      <c r="AM22" s="180">
        <v>47</v>
      </c>
      <c r="AN22" s="180">
        <v>45</v>
      </c>
      <c r="AO22" s="180">
        <v>161</v>
      </c>
      <c r="AP22" s="180">
        <v>33</v>
      </c>
      <c r="AQ22" s="180">
        <v>84</v>
      </c>
      <c r="AR22" s="180">
        <v>202</v>
      </c>
      <c r="AS22" s="78"/>
      <c r="AT22" s="393">
        <f>SUM(C22:AR22)</f>
        <v>64720</v>
      </c>
      <c r="AU22" s="393"/>
      <c r="AV22" s="42"/>
    </row>
    <row r="23" spans="1:48" s="27" customFormat="1" ht="12.75" customHeight="1">
      <c r="A23" s="174" t="s">
        <v>184</v>
      </c>
      <c r="B23" s="360">
        <v>6</v>
      </c>
      <c r="C23" s="180">
        <v>10</v>
      </c>
      <c r="D23" s="180">
        <v>10.9</v>
      </c>
      <c r="E23" s="180">
        <v>22</v>
      </c>
      <c r="F23" s="180">
        <v>46</v>
      </c>
      <c r="G23" s="180">
        <v>16</v>
      </c>
      <c r="H23" s="180">
        <v>176</v>
      </c>
      <c r="I23" s="180">
        <v>5</v>
      </c>
      <c r="J23" s="180">
        <v>1</v>
      </c>
      <c r="K23" s="180">
        <v>0</v>
      </c>
      <c r="L23" s="180">
        <v>2</v>
      </c>
      <c r="M23" s="180">
        <v>4</v>
      </c>
      <c r="N23" s="180">
        <v>7</v>
      </c>
      <c r="O23" s="180">
        <v>42</v>
      </c>
      <c r="P23" s="180">
        <v>0</v>
      </c>
      <c r="Q23" s="180">
        <v>0</v>
      </c>
      <c r="R23" s="180">
        <v>0</v>
      </c>
      <c r="S23" s="180">
        <v>0</v>
      </c>
      <c r="T23" s="180">
        <v>0</v>
      </c>
      <c r="U23" s="180">
        <v>0</v>
      </c>
      <c r="V23" s="180">
        <v>1</v>
      </c>
      <c r="W23" s="180">
        <v>10</v>
      </c>
      <c r="X23" s="180">
        <v>3</v>
      </c>
      <c r="Y23" s="180">
        <v>2</v>
      </c>
      <c r="Z23" s="180">
        <v>49</v>
      </c>
      <c r="AA23" s="180">
        <v>251</v>
      </c>
      <c r="AB23" s="180">
        <v>61</v>
      </c>
      <c r="AC23" s="180">
        <v>177</v>
      </c>
      <c r="AD23" s="180">
        <v>11</v>
      </c>
      <c r="AE23" s="180">
        <v>1</v>
      </c>
      <c r="AF23" s="180">
        <v>6</v>
      </c>
      <c r="AG23" s="180">
        <v>0</v>
      </c>
      <c r="AH23" s="180">
        <v>32</v>
      </c>
      <c r="AI23" s="180">
        <v>39</v>
      </c>
      <c r="AJ23" s="180">
        <v>165</v>
      </c>
      <c r="AK23" s="180">
        <v>382</v>
      </c>
      <c r="AL23" s="180">
        <v>5</v>
      </c>
      <c r="AM23" s="180">
        <v>0</v>
      </c>
      <c r="AN23" s="180">
        <v>0</v>
      </c>
      <c r="AO23" s="180">
        <v>2</v>
      </c>
      <c r="AP23" s="180">
        <v>2</v>
      </c>
      <c r="AQ23" s="180">
        <v>0</v>
      </c>
      <c r="AR23" s="180">
        <v>49</v>
      </c>
      <c r="AS23" s="78"/>
      <c r="AT23" s="393">
        <f>SUM(C23:AR23)</f>
        <v>1589.9</v>
      </c>
      <c r="AU23" s="393"/>
      <c r="AV23" s="42"/>
    </row>
    <row r="24" spans="1:48" ht="12.75" customHeight="1">
      <c r="A24" s="21"/>
      <c r="B24" s="61"/>
      <c r="AE24" s="33"/>
      <c r="AO24" s="33"/>
      <c r="AP24" s="33"/>
      <c r="AQ24" s="33"/>
      <c r="AS24" s="73"/>
      <c r="AT24" s="394"/>
      <c r="AU24" s="394"/>
      <c r="AV24" s="51"/>
    </row>
    <row r="25" spans="1:48" s="82" customFormat="1" ht="12.75" customHeight="1">
      <c r="A25" s="374" t="s">
        <v>185</v>
      </c>
      <c r="B25" s="360"/>
      <c r="C25" s="180">
        <v>96.3</v>
      </c>
      <c r="D25" s="180">
        <v>93</v>
      </c>
      <c r="E25" s="180">
        <v>97</v>
      </c>
      <c r="F25" s="180">
        <v>0</v>
      </c>
      <c r="G25" s="180">
        <v>100</v>
      </c>
      <c r="H25" s="180">
        <v>100</v>
      </c>
      <c r="I25" s="180">
        <v>100</v>
      </c>
      <c r="J25" s="180">
        <v>100</v>
      </c>
      <c r="K25" s="180">
        <v>0</v>
      </c>
      <c r="L25" s="180">
        <v>100</v>
      </c>
      <c r="M25" s="180">
        <v>100</v>
      </c>
      <c r="N25" s="180">
        <v>100</v>
      </c>
      <c r="O25" s="180">
        <v>100</v>
      </c>
      <c r="P25" s="180">
        <v>60.7</v>
      </c>
      <c r="Q25" s="180">
        <v>97.6</v>
      </c>
      <c r="R25" s="180">
        <v>93.7</v>
      </c>
      <c r="S25" s="180">
        <v>96.9</v>
      </c>
      <c r="T25" s="180">
        <v>86.5</v>
      </c>
      <c r="U25" s="180">
        <v>75</v>
      </c>
      <c r="V25" s="180">
        <v>0</v>
      </c>
      <c r="W25" s="180">
        <v>0</v>
      </c>
      <c r="X25" s="180">
        <v>0</v>
      </c>
      <c r="Y25" s="180">
        <v>0</v>
      </c>
      <c r="Z25" s="180">
        <v>0</v>
      </c>
      <c r="AA25" s="180">
        <v>85.3</v>
      </c>
      <c r="AB25" s="180">
        <v>98.1</v>
      </c>
      <c r="AC25" s="180">
        <v>92</v>
      </c>
      <c r="AD25" s="180">
        <v>100</v>
      </c>
      <c r="AE25" s="180">
        <v>29.5</v>
      </c>
      <c r="AF25" s="180">
        <v>100</v>
      </c>
      <c r="AG25" s="180">
        <v>0</v>
      </c>
      <c r="AH25" s="180">
        <v>45.8</v>
      </c>
      <c r="AI25" s="180">
        <v>64.8</v>
      </c>
      <c r="AJ25" s="180">
        <v>91.2</v>
      </c>
      <c r="AK25" s="180">
        <v>94.7</v>
      </c>
      <c r="AL25" s="180">
        <v>84</v>
      </c>
      <c r="AM25" s="180">
        <v>100</v>
      </c>
      <c r="AN25" s="180">
        <v>100</v>
      </c>
      <c r="AO25" s="180">
        <v>100</v>
      </c>
      <c r="AP25" s="180">
        <v>0</v>
      </c>
      <c r="AQ25" s="180">
        <v>0</v>
      </c>
      <c r="AR25" s="180">
        <v>88.9</v>
      </c>
      <c r="AS25" s="80"/>
      <c r="AT25" s="395">
        <f>+AT77/$AT$82*100</f>
        <v>83.63591762256002</v>
      </c>
      <c r="AU25" s="395"/>
      <c r="AV25" s="81"/>
    </row>
    <row r="26" spans="1:48" s="82" customFormat="1" ht="12.75" customHeight="1">
      <c r="A26" s="374" t="s">
        <v>186</v>
      </c>
      <c r="B26" s="360"/>
      <c r="C26" s="180">
        <v>0.7</v>
      </c>
      <c r="D26" s="180">
        <v>0.3</v>
      </c>
      <c r="E26" s="180">
        <v>0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0</v>
      </c>
      <c r="M26" s="180">
        <v>0</v>
      </c>
      <c r="N26" s="180">
        <v>0</v>
      </c>
      <c r="O26" s="180">
        <v>0</v>
      </c>
      <c r="P26" s="180">
        <v>8.6</v>
      </c>
      <c r="Q26" s="180">
        <v>1.2</v>
      </c>
      <c r="R26" s="180">
        <v>1.3</v>
      </c>
      <c r="S26" s="180">
        <v>0.6</v>
      </c>
      <c r="T26" s="180">
        <v>13.5</v>
      </c>
      <c r="U26" s="180">
        <v>25</v>
      </c>
      <c r="V26" s="180">
        <v>0</v>
      </c>
      <c r="W26" s="180">
        <v>0</v>
      </c>
      <c r="X26" s="180">
        <v>0</v>
      </c>
      <c r="Y26" s="180">
        <v>0</v>
      </c>
      <c r="Z26" s="180">
        <v>0</v>
      </c>
      <c r="AA26" s="180">
        <v>3</v>
      </c>
      <c r="AB26" s="180">
        <v>0</v>
      </c>
      <c r="AC26" s="180">
        <v>1.8</v>
      </c>
      <c r="AD26" s="180">
        <v>0</v>
      </c>
      <c r="AE26" s="180">
        <v>70.5</v>
      </c>
      <c r="AF26" s="180">
        <v>0</v>
      </c>
      <c r="AG26" s="180">
        <v>0</v>
      </c>
      <c r="AH26" s="180">
        <v>25.4</v>
      </c>
      <c r="AI26" s="180">
        <v>13.9</v>
      </c>
      <c r="AJ26" s="180">
        <v>1.3</v>
      </c>
      <c r="AK26" s="180">
        <v>0.4</v>
      </c>
      <c r="AL26" s="180">
        <v>16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80"/>
      <c r="AT26" s="395">
        <f>+AT78/$AT$82*100</f>
        <v>1.6871772632936959</v>
      </c>
      <c r="AU26" s="395"/>
      <c r="AV26" s="81"/>
    </row>
    <row r="27" spans="1:48" s="82" customFormat="1" ht="12.75" customHeight="1">
      <c r="A27" s="374" t="s">
        <v>187</v>
      </c>
      <c r="B27" s="360"/>
      <c r="C27" s="180">
        <v>0</v>
      </c>
      <c r="D27" s="180">
        <v>1.1</v>
      </c>
      <c r="E27" s="180">
        <v>2.5</v>
      </c>
      <c r="F27" s="180">
        <v>0</v>
      </c>
      <c r="G27" s="180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80">
        <v>1.9</v>
      </c>
      <c r="Q27" s="180">
        <v>0.6</v>
      </c>
      <c r="R27" s="180">
        <v>4.3</v>
      </c>
      <c r="S27" s="180">
        <v>1.2</v>
      </c>
      <c r="T27" s="180">
        <v>0</v>
      </c>
      <c r="U27" s="180">
        <v>0</v>
      </c>
      <c r="V27" s="180">
        <v>0</v>
      </c>
      <c r="W27" s="180">
        <v>0</v>
      </c>
      <c r="X27" s="180">
        <v>0</v>
      </c>
      <c r="Y27" s="180">
        <v>0</v>
      </c>
      <c r="Z27" s="180">
        <v>0</v>
      </c>
      <c r="AA27" s="180">
        <v>0</v>
      </c>
      <c r="AB27" s="180">
        <v>0</v>
      </c>
      <c r="AC27" s="180">
        <v>0</v>
      </c>
      <c r="AD27" s="180">
        <v>0</v>
      </c>
      <c r="AE27" s="180">
        <v>0</v>
      </c>
      <c r="AF27" s="180">
        <v>0</v>
      </c>
      <c r="AG27" s="180">
        <v>0</v>
      </c>
      <c r="AH27" s="180">
        <v>0</v>
      </c>
      <c r="AI27" s="180">
        <v>14.2</v>
      </c>
      <c r="AJ27" s="180">
        <v>3.8</v>
      </c>
      <c r="AK27" s="180">
        <v>4.1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80"/>
      <c r="AT27" s="395">
        <f>+AT79/$AT$82*100</f>
        <v>1.125805334305587</v>
      </c>
      <c r="AU27" s="395"/>
      <c r="AV27" s="81"/>
    </row>
    <row r="28" spans="1:48" s="82" customFormat="1" ht="12.75" customHeight="1">
      <c r="A28" s="374" t="s">
        <v>188</v>
      </c>
      <c r="B28" s="360"/>
      <c r="C28" s="180">
        <v>3</v>
      </c>
      <c r="D28" s="180">
        <v>5.6</v>
      </c>
      <c r="E28" s="180">
        <v>0.5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0</v>
      </c>
      <c r="P28" s="180">
        <v>28.8</v>
      </c>
      <c r="Q28" s="180">
        <v>0.6</v>
      </c>
      <c r="R28" s="180">
        <v>0.7</v>
      </c>
      <c r="S28" s="180">
        <v>1.3</v>
      </c>
      <c r="T28" s="180">
        <v>0</v>
      </c>
      <c r="U28" s="180">
        <v>0</v>
      </c>
      <c r="V28" s="180">
        <v>0</v>
      </c>
      <c r="W28" s="180">
        <v>0</v>
      </c>
      <c r="X28" s="180">
        <v>0</v>
      </c>
      <c r="Y28" s="180">
        <v>0</v>
      </c>
      <c r="Z28" s="180">
        <v>0</v>
      </c>
      <c r="AA28" s="180">
        <v>0</v>
      </c>
      <c r="AB28" s="180">
        <v>0</v>
      </c>
      <c r="AC28" s="180">
        <v>0</v>
      </c>
      <c r="AD28" s="180">
        <v>0</v>
      </c>
      <c r="AE28" s="180">
        <v>0</v>
      </c>
      <c r="AF28" s="180">
        <v>0</v>
      </c>
      <c r="AG28" s="180">
        <v>0</v>
      </c>
      <c r="AH28" s="180">
        <v>0</v>
      </c>
      <c r="AI28" s="180">
        <v>0</v>
      </c>
      <c r="AJ28" s="180">
        <v>0.8</v>
      </c>
      <c r="AK28" s="180">
        <v>0.5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8.5</v>
      </c>
      <c r="AS28" s="80"/>
      <c r="AT28" s="395">
        <f>+AT80/$AT$82*100</f>
        <v>0.9253901166704064</v>
      </c>
      <c r="AU28" s="395"/>
      <c r="AV28" s="81"/>
    </row>
    <row r="29" spans="1:48" s="77" customFormat="1" ht="12.75" customHeight="1">
      <c r="A29" s="374" t="s">
        <v>189</v>
      </c>
      <c r="B29" s="360"/>
      <c r="C29" s="180">
        <v>0</v>
      </c>
      <c r="D29" s="180">
        <v>0</v>
      </c>
      <c r="E29" s="180">
        <v>0</v>
      </c>
      <c r="F29" s="180">
        <v>100</v>
      </c>
      <c r="G29" s="180">
        <v>0</v>
      </c>
      <c r="H29" s="180">
        <v>0</v>
      </c>
      <c r="I29" s="180">
        <v>0</v>
      </c>
      <c r="J29" s="180">
        <v>0</v>
      </c>
      <c r="K29" s="180">
        <v>0</v>
      </c>
      <c r="L29" s="180">
        <v>0</v>
      </c>
      <c r="M29" s="180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  <c r="S29" s="180">
        <v>0</v>
      </c>
      <c r="T29" s="180">
        <v>0</v>
      </c>
      <c r="U29" s="180">
        <v>0</v>
      </c>
      <c r="V29" s="180">
        <v>100</v>
      </c>
      <c r="W29" s="180">
        <v>100</v>
      </c>
      <c r="X29" s="180">
        <v>100</v>
      </c>
      <c r="Y29" s="180">
        <v>100</v>
      </c>
      <c r="Z29" s="180">
        <v>100</v>
      </c>
      <c r="AA29" s="180">
        <v>11.7</v>
      </c>
      <c r="AB29" s="180">
        <v>1.9</v>
      </c>
      <c r="AC29" s="180">
        <v>6.2</v>
      </c>
      <c r="AD29" s="180">
        <v>0</v>
      </c>
      <c r="AE29" s="180">
        <v>0</v>
      </c>
      <c r="AF29" s="180">
        <v>0</v>
      </c>
      <c r="AG29" s="180">
        <v>0</v>
      </c>
      <c r="AH29" s="180">
        <v>28.8</v>
      </c>
      <c r="AI29" s="180">
        <v>7.1</v>
      </c>
      <c r="AJ29" s="180">
        <v>2.9</v>
      </c>
      <c r="AK29" s="180">
        <v>0.3</v>
      </c>
      <c r="AL29" s="180">
        <v>0</v>
      </c>
      <c r="AM29" s="180">
        <v>0</v>
      </c>
      <c r="AN29" s="180">
        <v>0</v>
      </c>
      <c r="AO29" s="180">
        <v>0</v>
      </c>
      <c r="AP29" s="180">
        <v>100</v>
      </c>
      <c r="AQ29" s="180">
        <v>0</v>
      </c>
      <c r="AR29" s="180">
        <v>2.6</v>
      </c>
      <c r="AS29" s="80"/>
      <c r="AT29" s="395">
        <f>+AT81/$AT$82*100</f>
        <v>12.625709663170296</v>
      </c>
      <c r="AU29" s="395"/>
      <c r="AV29" s="76"/>
    </row>
    <row r="30" spans="1:48" s="54" customFormat="1" ht="12.75" customHeight="1">
      <c r="A30" s="369" t="s">
        <v>190</v>
      </c>
      <c r="B30" s="360">
        <v>7</v>
      </c>
      <c r="C30" s="367">
        <f aca="true" t="shared" si="4" ref="C30:AR30">SUM(C25:C29)</f>
        <v>100</v>
      </c>
      <c r="D30" s="367">
        <f t="shared" si="4"/>
        <v>99.99999999999999</v>
      </c>
      <c r="E30" s="367">
        <f t="shared" si="4"/>
        <v>100</v>
      </c>
      <c r="F30" s="367">
        <f t="shared" si="4"/>
        <v>100</v>
      </c>
      <c r="G30" s="367">
        <f t="shared" si="4"/>
        <v>100</v>
      </c>
      <c r="H30" s="367">
        <f t="shared" si="4"/>
        <v>100</v>
      </c>
      <c r="I30" s="367">
        <f t="shared" si="4"/>
        <v>100</v>
      </c>
      <c r="J30" s="367">
        <f t="shared" si="4"/>
        <v>100</v>
      </c>
      <c r="K30" s="367">
        <f t="shared" si="4"/>
        <v>0</v>
      </c>
      <c r="L30" s="367">
        <f t="shared" si="4"/>
        <v>100</v>
      </c>
      <c r="M30" s="367">
        <f t="shared" si="4"/>
        <v>100</v>
      </c>
      <c r="N30" s="367">
        <f t="shared" si="4"/>
        <v>100</v>
      </c>
      <c r="O30" s="367">
        <f t="shared" si="4"/>
        <v>100</v>
      </c>
      <c r="P30" s="367">
        <f t="shared" si="4"/>
        <v>100</v>
      </c>
      <c r="Q30" s="367">
        <f t="shared" si="4"/>
        <v>99.99999999999999</v>
      </c>
      <c r="R30" s="367">
        <f t="shared" si="4"/>
        <v>100</v>
      </c>
      <c r="S30" s="367">
        <f t="shared" si="4"/>
        <v>100</v>
      </c>
      <c r="T30" s="367">
        <f>SUM(T25:T29)</f>
        <v>100</v>
      </c>
      <c r="U30" s="367">
        <f>SUM(U25:U29)</f>
        <v>100</v>
      </c>
      <c r="V30" s="367">
        <f t="shared" si="4"/>
        <v>100</v>
      </c>
      <c r="W30" s="367">
        <f t="shared" si="4"/>
        <v>100</v>
      </c>
      <c r="X30" s="367">
        <f t="shared" si="4"/>
        <v>100</v>
      </c>
      <c r="Y30" s="367">
        <f t="shared" si="4"/>
        <v>100</v>
      </c>
      <c r="Z30" s="367">
        <f t="shared" si="4"/>
        <v>100</v>
      </c>
      <c r="AA30" s="367">
        <f t="shared" si="4"/>
        <v>100</v>
      </c>
      <c r="AB30" s="375">
        <f t="shared" si="4"/>
        <v>100</v>
      </c>
      <c r="AC30" s="367">
        <f t="shared" si="4"/>
        <v>100</v>
      </c>
      <c r="AD30" s="367">
        <f t="shared" si="4"/>
        <v>100</v>
      </c>
      <c r="AE30" s="367">
        <f t="shared" si="4"/>
        <v>100</v>
      </c>
      <c r="AF30" s="367">
        <f t="shared" si="4"/>
        <v>100</v>
      </c>
      <c r="AG30" s="367">
        <f t="shared" si="4"/>
        <v>0</v>
      </c>
      <c r="AH30" s="367">
        <f>SUM(AH25:AH29)</f>
        <v>99.99999999999999</v>
      </c>
      <c r="AI30" s="367">
        <f>SUM(AI25:AI29)</f>
        <v>100</v>
      </c>
      <c r="AJ30" s="367">
        <f>SUM(AJ25:AJ29)</f>
        <v>100</v>
      </c>
      <c r="AK30" s="367">
        <f>SUM(AK25:AK29)</f>
        <v>100</v>
      </c>
      <c r="AL30" s="367">
        <f t="shared" si="4"/>
        <v>100</v>
      </c>
      <c r="AM30" s="367">
        <f t="shared" si="4"/>
        <v>100</v>
      </c>
      <c r="AN30" s="367">
        <f t="shared" si="4"/>
        <v>100</v>
      </c>
      <c r="AO30" s="367">
        <f>SUM(AO25:AO29)</f>
        <v>100</v>
      </c>
      <c r="AP30" s="367">
        <f t="shared" si="4"/>
        <v>100</v>
      </c>
      <c r="AQ30" s="367">
        <f t="shared" si="4"/>
        <v>0</v>
      </c>
      <c r="AR30" s="367">
        <f t="shared" si="4"/>
        <v>100</v>
      </c>
      <c r="AS30" s="83"/>
      <c r="AT30" s="395">
        <f>SUM(AT25:AT29)</f>
        <v>99.99999999999999</v>
      </c>
      <c r="AU30" s="395"/>
      <c r="AV30" s="84"/>
    </row>
    <row r="31" spans="1:48" s="54" customFormat="1" ht="12.75" customHeight="1">
      <c r="A31" s="74"/>
      <c r="B31" s="61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85"/>
      <c r="AT31" s="396"/>
      <c r="AU31" s="396"/>
      <c r="AV31" s="84"/>
    </row>
    <row r="32" spans="1:48" ht="12.75" customHeight="1">
      <c r="A32" s="227" t="s">
        <v>191</v>
      </c>
      <c r="B32" s="360">
        <v>8</v>
      </c>
      <c r="C32" s="180">
        <v>0</v>
      </c>
      <c r="D32" s="180">
        <v>0</v>
      </c>
      <c r="E32" s="180">
        <v>0</v>
      </c>
      <c r="F32" s="180">
        <v>0.5</v>
      </c>
      <c r="G32" s="180">
        <v>0</v>
      </c>
      <c r="H32" s="180">
        <v>0</v>
      </c>
      <c r="I32" s="180">
        <v>0</v>
      </c>
      <c r="J32" s="180">
        <v>16</v>
      </c>
      <c r="K32" s="180">
        <v>16</v>
      </c>
      <c r="L32" s="180">
        <v>16</v>
      </c>
      <c r="M32" s="180">
        <v>16</v>
      </c>
      <c r="N32" s="180">
        <v>16</v>
      </c>
      <c r="O32" s="180">
        <v>16</v>
      </c>
      <c r="P32" s="180">
        <v>0</v>
      </c>
      <c r="Q32" s="180">
        <v>0</v>
      </c>
      <c r="R32" s="180">
        <v>0</v>
      </c>
      <c r="S32" s="180">
        <v>0</v>
      </c>
      <c r="T32" s="180">
        <v>0</v>
      </c>
      <c r="U32" s="180">
        <v>0</v>
      </c>
      <c r="V32" s="180">
        <v>0.1</v>
      </c>
      <c r="W32" s="180">
        <v>0.3</v>
      </c>
      <c r="X32" s="180">
        <v>0.1</v>
      </c>
      <c r="Y32" s="180">
        <v>0.1</v>
      </c>
      <c r="Z32" s="180">
        <v>1.3</v>
      </c>
      <c r="AA32" s="180">
        <v>0</v>
      </c>
      <c r="AB32" s="180">
        <v>0</v>
      </c>
      <c r="AC32" s="180">
        <v>0</v>
      </c>
      <c r="AD32" s="180">
        <v>0</v>
      </c>
      <c r="AE32" s="180">
        <v>0</v>
      </c>
      <c r="AF32" s="180">
        <v>6</v>
      </c>
      <c r="AG32" s="180">
        <v>6</v>
      </c>
      <c r="AH32" s="180">
        <v>0</v>
      </c>
      <c r="AI32" s="180">
        <v>0</v>
      </c>
      <c r="AJ32" s="180">
        <v>0</v>
      </c>
      <c r="AK32" s="180">
        <v>0</v>
      </c>
      <c r="AL32" s="180">
        <v>0</v>
      </c>
      <c r="AM32" s="180">
        <v>0</v>
      </c>
      <c r="AN32" s="180">
        <v>0</v>
      </c>
      <c r="AO32" s="180">
        <v>5</v>
      </c>
      <c r="AP32" s="180">
        <v>0</v>
      </c>
      <c r="AQ32" s="180">
        <v>0</v>
      </c>
      <c r="AR32" s="180">
        <v>0</v>
      </c>
      <c r="AS32" s="83"/>
      <c r="AT32" s="397">
        <f>SUM(C32:AR32)</f>
        <v>115.39999999999998</v>
      </c>
      <c r="AU32" s="397"/>
      <c r="AV32" s="51"/>
    </row>
    <row r="33" spans="1:48" s="52" customFormat="1" ht="12.75" customHeight="1">
      <c r="A33" s="376" t="s">
        <v>288</v>
      </c>
      <c r="B33" s="360">
        <v>9</v>
      </c>
      <c r="C33" s="377">
        <f>+'5.1. Séreignard.'!C20/'5.1. Séreignard.'!C13*100</f>
        <v>14.378517520010359</v>
      </c>
      <c r="D33" s="377">
        <f>+'5.1. Séreignard.'!D20/'5.1. Séreignard.'!D13*100</f>
        <v>17.835937027860034</v>
      </c>
      <c r="E33" s="377">
        <f>+'5.1. Séreignard.'!E20/'5.1. Séreignard.'!E13*100</f>
        <v>58.95083890411513</v>
      </c>
      <c r="F33" s="378">
        <f>+'5.1. Séreignard.'!F20/'5.1. Séreignard.'!F13*100</f>
        <v>20.826547265347113</v>
      </c>
      <c r="G33" s="377">
        <f>+'5.1. Séreignard.'!G20/'5.1. Séreignard.'!G13*100</f>
        <v>12.67900732302685</v>
      </c>
      <c r="H33" s="377">
        <f>+'5.1. Séreignard.'!H20/'5.1. Séreignard.'!H13*100</f>
        <v>34.44220575391507</v>
      </c>
      <c r="I33" s="377">
        <f>+'5.1. Séreignard.'!I20/'5.1. Séreignard.'!I13*100</f>
        <v>217.6196032672112</v>
      </c>
      <c r="J33" s="377">
        <f>+'5.1. Séreignard.'!J20/'5.1. Séreignard.'!J13*100</f>
        <v>5.2801973329222225</v>
      </c>
      <c r="K33" s="377">
        <f>+'5.1. Séreignard.'!K20/'5.1. Séreignard.'!K13*100</f>
        <v>0</v>
      </c>
      <c r="L33" s="377">
        <f>+'5.1. Séreignard.'!L20/'5.1. Séreignard.'!L13*100</f>
        <v>38.917902653018594</v>
      </c>
      <c r="M33" s="377">
        <f>+'5.1. Séreignard.'!M20/'5.1. Séreignard.'!M13*100</f>
        <v>126.15515048749471</v>
      </c>
      <c r="N33" s="377">
        <f>+'5.1. Séreignard.'!N20/'5.1. Séreignard.'!N13*100</f>
        <v>101.24425209629429</v>
      </c>
      <c r="O33" s="377">
        <f>+'5.1. Séreignard.'!O20/'5.1. Séreignard.'!O13*100</f>
        <v>74.74780433423064</v>
      </c>
      <c r="P33" s="377">
        <f>+'5.1. Séreignard.'!P20/'5.1. Séreignard.'!P13*100</f>
        <v>1.727685334130312</v>
      </c>
      <c r="Q33" s="377">
        <f>+'5.1. Séreignard.'!Q20/'5.1. Séreignard.'!Q13*100</f>
        <v>15.56970581464151</v>
      </c>
      <c r="R33" s="377">
        <f>+'5.1. Séreignard.'!R20/'5.1. Séreignard.'!R13*100</f>
        <v>32.049516211963045</v>
      </c>
      <c r="S33" s="377">
        <f>+'5.1. Séreignard.'!S20/'5.1. Séreignard.'!S13*100</f>
        <v>27.193813361958448</v>
      </c>
      <c r="T33" s="377">
        <f>+'5.1. Séreignard.'!T20/'5.1. Séreignard.'!T13*100</f>
        <v>35.26378235970067</v>
      </c>
      <c r="U33" s="377">
        <f>+'5.1. Séreignard.'!U20/'5.1. Séreignard.'!U13*100</f>
        <v>9.724766121017486</v>
      </c>
      <c r="V33" s="377">
        <f>+'5.1. Séreignard.'!V20/'5.1. Séreignard.'!V13*100</f>
        <v>33.34100322135296</v>
      </c>
      <c r="W33" s="377">
        <f>+'5.1. Séreignard.'!W20/'5.1. Séreignard.'!W13*100</f>
        <v>11.134315624833372</v>
      </c>
      <c r="X33" s="377">
        <f>+'5.1. Séreignard.'!X20/'5.1. Séreignard.'!X13*100</f>
        <v>40.41781767955801</v>
      </c>
      <c r="Y33" s="377">
        <f>+'5.1. Séreignard.'!Y20/'5.1. Séreignard.'!Y13*100</f>
        <v>13.757575757575758</v>
      </c>
      <c r="Z33" s="377">
        <f>+'5.1. Séreignard.'!Z20/'5.1. Séreignard.'!Z13*100</f>
        <v>162.68242008560915</v>
      </c>
      <c r="AA33" s="377">
        <f>+'5.1. Séreignard.'!AA20/'5.1. Séreignard.'!AA13*100</f>
        <v>10.079023591237759</v>
      </c>
      <c r="AB33" s="377">
        <f>+'5.1. Séreignard.'!AB20/'5.1. Séreignard.'!AB13*100</f>
        <v>40.90875167918802</v>
      </c>
      <c r="AC33" s="377">
        <f>+'5.1. Séreignard.'!AC20/'5.1. Séreignard.'!AC13*100</f>
        <v>155.00967506847937</v>
      </c>
      <c r="AD33" s="377">
        <f>+'5.1. Séreignard.'!AD20/'5.1. Séreignard.'!AD13*100</f>
        <v>7.778801843317973</v>
      </c>
      <c r="AE33" s="377">
        <f>+'5.1. Séreignard.'!AE20/'5.1. Séreignard.'!AE13*100</f>
        <v>4.409825255522585</v>
      </c>
      <c r="AF33" s="377">
        <f>+'5.1. Séreignard.'!AF20/'5.1. Séreignard.'!AF13*100</f>
        <v>2.2261569262855465</v>
      </c>
      <c r="AG33" s="377">
        <f>+'5.1. Séreignard.'!AG20/'5.1. Séreignard.'!AG13*100</f>
        <v>0</v>
      </c>
      <c r="AH33" s="377">
        <f>+'5.1. Séreignard.'!AH20/'5.1. Séreignard.'!AH13*100</f>
        <v>0.31168982929345057</v>
      </c>
      <c r="AI33" s="378">
        <f>+'5.1. Séreignard.'!AI20/'5.1. Séreignard.'!AI13*100</f>
        <v>1.389817600951001</v>
      </c>
      <c r="AJ33" s="377">
        <f>+'5.1. Séreignard.'!AJ20/'5.1. Séreignard.'!AJ13*100</f>
        <v>10.8919730458824</v>
      </c>
      <c r="AK33" s="377">
        <f>+'5.1. Séreignard.'!AK20/'5.1. Séreignard.'!AK13*100</f>
        <v>36.08182975838061</v>
      </c>
      <c r="AL33" s="377">
        <f>+'5.1. Séreignard.'!AL20/'5.1. Séreignard.'!AL13*100</f>
        <v>8.77721569210931</v>
      </c>
      <c r="AM33" s="377">
        <f>+'5.1. Séreignard.'!AM20/'5.1. Séreignard.'!AM13*100</f>
        <v>20.65313849612495</v>
      </c>
      <c r="AN33" s="377">
        <f>+'5.1. Séreignard.'!AN20/'5.1. Séreignard.'!AN13*100</f>
        <v>127.31436837029895</v>
      </c>
      <c r="AO33" s="377">
        <f>+'5.1. Séreignard.'!AO20/'5.1. Séreignard.'!AO13*100</f>
        <v>51.16361488481984</v>
      </c>
      <c r="AP33" s="377">
        <f>+'5.1. Séreignard.'!AP20/'5.1. Séreignard.'!AP13*100</f>
        <v>50.10612492419648</v>
      </c>
      <c r="AQ33" s="377">
        <f>+'5.1. Séreignard.'!AQ20/'5.1. Séreignard.'!AQ13*100</f>
        <v>0</v>
      </c>
      <c r="AR33" s="377">
        <f>+'5.1. Séreignard.'!AR20/'5.1. Séreignard.'!AR13*100</f>
        <v>35.926647493583204</v>
      </c>
      <c r="AS33" s="79"/>
      <c r="AT33" s="377">
        <f>+'5.1. Séreignard.'!AT20/'5.1. Séreignard.'!AT13*100</f>
        <v>14.894466806462422</v>
      </c>
      <c r="AU33" s="377"/>
      <c r="AV33" s="86"/>
    </row>
    <row r="34" spans="1:48" ht="12" customHeight="1">
      <c r="A34" s="21"/>
      <c r="B34" s="61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87"/>
      <c r="AT34" s="398"/>
      <c r="AU34" s="398"/>
      <c r="AV34" s="42"/>
    </row>
    <row r="35" spans="1:48" ht="12" customHeight="1">
      <c r="A35" s="21"/>
      <c r="B35" s="61"/>
      <c r="C35" s="37"/>
      <c r="D35" s="37"/>
      <c r="E35" s="37"/>
      <c r="F35" s="37"/>
      <c r="G35" s="37"/>
      <c r="H35" s="37"/>
      <c r="I35" s="37"/>
      <c r="J35" s="89"/>
      <c r="K35" s="37"/>
      <c r="L35" s="37"/>
      <c r="M35" s="37"/>
      <c r="N35" s="37"/>
      <c r="O35" s="42"/>
      <c r="P35" s="90"/>
      <c r="Q35" s="90"/>
      <c r="R35" s="37"/>
      <c r="S35" s="37"/>
      <c r="T35" s="37"/>
      <c r="U35" s="37"/>
      <c r="V35" s="42"/>
      <c r="W35" s="42"/>
      <c r="X35" s="42"/>
      <c r="Y35" s="42"/>
      <c r="Z35" s="19"/>
      <c r="AA35" s="37"/>
      <c r="AB35" s="37"/>
      <c r="AC35" s="37"/>
      <c r="AE35" s="89"/>
      <c r="AG35" s="37"/>
      <c r="AH35" s="37"/>
      <c r="AI35" s="37"/>
      <c r="AJ35" s="37"/>
      <c r="AK35" s="37"/>
      <c r="AL35" s="37"/>
      <c r="AM35" s="37"/>
      <c r="AO35" s="26"/>
      <c r="AP35" s="26"/>
      <c r="AQ35" s="26"/>
      <c r="AR35" s="37"/>
      <c r="AS35" s="87"/>
      <c r="AT35" s="398"/>
      <c r="AU35" s="398"/>
      <c r="AV35" s="42"/>
    </row>
    <row r="36" spans="1:166" s="43" customFormat="1" ht="12.75" customHeight="1">
      <c r="A36" s="176" t="s">
        <v>194</v>
      </c>
      <c r="B36" s="60"/>
      <c r="C36" s="482" t="s">
        <v>233</v>
      </c>
      <c r="D36" s="482"/>
      <c r="E36" s="482"/>
      <c r="F36" s="48"/>
      <c r="G36" s="482" t="s">
        <v>283</v>
      </c>
      <c r="H36" s="482"/>
      <c r="I36" s="482"/>
      <c r="J36" s="485" t="s">
        <v>233</v>
      </c>
      <c r="K36" s="485"/>
      <c r="L36" s="485"/>
      <c r="M36" s="485"/>
      <c r="N36" s="485"/>
      <c r="O36" s="485"/>
      <c r="P36" s="485" t="s">
        <v>233</v>
      </c>
      <c r="Q36" s="485"/>
      <c r="R36" s="485"/>
      <c r="S36" s="485"/>
      <c r="T36" s="491"/>
      <c r="U36" s="491"/>
      <c r="V36" s="485" t="s">
        <v>233</v>
      </c>
      <c r="W36" s="485"/>
      <c r="X36" s="485"/>
      <c r="Y36" s="485"/>
      <c r="Z36" s="485"/>
      <c r="AA36" s="482" t="s">
        <v>233</v>
      </c>
      <c r="AB36" s="482"/>
      <c r="AC36" s="482"/>
      <c r="AD36" s="47"/>
      <c r="AE36" s="366" t="s">
        <v>287</v>
      </c>
      <c r="AF36" s="47"/>
      <c r="AG36" s="47"/>
      <c r="AH36" s="482" t="s">
        <v>233</v>
      </c>
      <c r="AI36" s="482"/>
      <c r="AJ36" s="482"/>
      <c r="AK36" s="482"/>
      <c r="AM36" s="491"/>
      <c r="AN36" s="491"/>
      <c r="AO36" s="47"/>
      <c r="AR36" s="47"/>
      <c r="AS36" s="87"/>
      <c r="AT36" s="398"/>
      <c r="AU36" s="398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</row>
    <row r="37" spans="2:166" s="43" customFormat="1" ht="12.75" customHeight="1">
      <c r="B37" s="60"/>
      <c r="C37" s="91"/>
      <c r="D37" s="491"/>
      <c r="E37" s="491"/>
      <c r="F37" s="48"/>
      <c r="G37" s="482" t="s">
        <v>596</v>
      </c>
      <c r="H37" s="482"/>
      <c r="I37" s="482"/>
      <c r="J37" s="482" t="s">
        <v>518</v>
      </c>
      <c r="K37" s="482"/>
      <c r="L37" s="482" t="s">
        <v>589</v>
      </c>
      <c r="M37" s="482"/>
      <c r="N37" s="92"/>
      <c r="O37" s="48"/>
      <c r="P37" s="47"/>
      <c r="Q37" s="47"/>
      <c r="R37" s="48"/>
      <c r="T37" s="470"/>
      <c r="U37" s="470"/>
      <c r="V37" s="482" t="s">
        <v>608</v>
      </c>
      <c r="W37" s="482"/>
      <c r="X37" s="482"/>
      <c r="Y37" s="482"/>
      <c r="Z37" s="482"/>
      <c r="AB37" s="47"/>
      <c r="AC37" s="47"/>
      <c r="AD37" s="44"/>
      <c r="AE37" s="366" t="s">
        <v>286</v>
      </c>
      <c r="AF37" s="47"/>
      <c r="AG37" s="47"/>
      <c r="AJ37" s="91"/>
      <c r="AK37" s="259" t="s">
        <v>284</v>
      </c>
      <c r="AL37" s="93"/>
      <c r="AM37" s="48"/>
      <c r="AN37" s="47"/>
      <c r="AO37" s="48"/>
      <c r="AQ37" s="48"/>
      <c r="AR37" s="47"/>
      <c r="AS37" s="94"/>
      <c r="AT37" s="88"/>
      <c r="AU37" s="88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</row>
    <row r="38" spans="1:166" s="43" customFormat="1" ht="12.75" customHeight="1">
      <c r="A38" s="24"/>
      <c r="B38" s="60"/>
      <c r="C38" s="44"/>
      <c r="D38" s="44"/>
      <c r="E38" s="48"/>
      <c r="F38" s="48"/>
      <c r="J38" s="482" t="s">
        <v>519</v>
      </c>
      <c r="K38" s="482"/>
      <c r="L38" s="482" t="s">
        <v>588</v>
      </c>
      <c r="M38" s="482"/>
      <c r="N38" s="48"/>
      <c r="O38" s="48"/>
      <c r="P38" s="47"/>
      <c r="S38" s="47"/>
      <c r="T38" s="44"/>
      <c r="U38" s="44"/>
      <c r="V38" s="260" t="s">
        <v>614</v>
      </c>
      <c r="W38" s="260"/>
      <c r="X38" s="260"/>
      <c r="Y38" s="260"/>
      <c r="Z38" s="260"/>
      <c r="AA38" s="47"/>
      <c r="AB38" s="48"/>
      <c r="AC38" s="48"/>
      <c r="AD38" s="44"/>
      <c r="AE38" s="47"/>
      <c r="AF38" s="48"/>
      <c r="AG38" s="48"/>
      <c r="AJ38" s="48"/>
      <c r="AK38" s="259" t="s">
        <v>285</v>
      </c>
      <c r="AL38" s="48"/>
      <c r="AM38" s="48"/>
      <c r="AN38" s="48"/>
      <c r="AO38" s="48"/>
      <c r="AQ38" s="48"/>
      <c r="AR38" s="48"/>
      <c r="AS38" s="94"/>
      <c r="AT38" s="88"/>
      <c r="AU38" s="88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</row>
    <row r="39" spans="1:166" s="43" customFormat="1" ht="12.75" customHeight="1">
      <c r="A39" s="24"/>
      <c r="B39" s="60"/>
      <c r="C39" s="44"/>
      <c r="D39" s="44"/>
      <c r="E39" s="48"/>
      <c r="F39" s="48"/>
      <c r="J39" s="48"/>
      <c r="K39" s="48"/>
      <c r="L39" s="48"/>
      <c r="M39" s="48"/>
      <c r="N39" s="48"/>
      <c r="O39" s="48"/>
      <c r="P39" s="47"/>
      <c r="Q39" s="47"/>
      <c r="R39" s="48"/>
      <c r="S39" s="47"/>
      <c r="T39" s="44"/>
      <c r="U39" s="44"/>
      <c r="V39" s="260" t="s">
        <v>613</v>
      </c>
      <c r="W39" s="260"/>
      <c r="X39" s="48"/>
      <c r="Y39" s="48"/>
      <c r="Z39" s="21"/>
      <c r="AA39" s="47"/>
      <c r="AB39" s="48"/>
      <c r="AC39" s="48"/>
      <c r="AD39" s="44"/>
      <c r="AE39" s="47"/>
      <c r="AF39" s="48"/>
      <c r="AG39" s="48"/>
      <c r="AJ39" s="48"/>
      <c r="AK39" s="45"/>
      <c r="AL39" s="48"/>
      <c r="AM39" s="48"/>
      <c r="AN39" s="48"/>
      <c r="AO39" s="48"/>
      <c r="AQ39" s="48"/>
      <c r="AR39" s="48"/>
      <c r="AS39" s="94"/>
      <c r="AT39" s="88"/>
      <c r="AU39" s="88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</row>
    <row r="40" spans="1:166" s="43" customFormat="1" ht="12.75" customHeight="1">
      <c r="A40" s="24"/>
      <c r="B40" s="95"/>
      <c r="C40" s="96"/>
      <c r="D40" s="96"/>
      <c r="E40" s="96"/>
      <c r="F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7"/>
      <c r="W40" s="97"/>
      <c r="X40" s="48"/>
      <c r="Y40" s="48"/>
      <c r="Z40" s="21"/>
      <c r="AA40" s="96"/>
      <c r="AB40" s="96"/>
      <c r="AC40" s="96"/>
      <c r="AD40" s="98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4"/>
      <c r="AT40" s="88"/>
      <c r="AU40" s="88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</row>
    <row r="41" spans="1:166" s="43" customFormat="1" ht="12.75" customHeight="1">
      <c r="A41" s="235"/>
      <c r="B41" s="370"/>
      <c r="C41" s="176" t="s">
        <v>195</v>
      </c>
      <c r="D41" s="371"/>
      <c r="E41" s="371"/>
      <c r="F41" s="371"/>
      <c r="G41" s="371"/>
      <c r="H41" s="371"/>
      <c r="I41" s="371"/>
      <c r="J41" s="176" t="s">
        <v>195</v>
      </c>
      <c r="K41" s="371"/>
      <c r="L41" s="371"/>
      <c r="M41" s="371"/>
      <c r="N41" s="371"/>
      <c r="O41" s="371"/>
      <c r="P41" s="176" t="s">
        <v>195</v>
      </c>
      <c r="Q41" s="371"/>
      <c r="R41" s="371"/>
      <c r="S41" s="371"/>
      <c r="T41" s="371"/>
      <c r="U41" s="371"/>
      <c r="V41" s="176" t="s">
        <v>195</v>
      </c>
      <c r="W41" s="372"/>
      <c r="X41" s="237"/>
      <c r="Y41" s="235"/>
      <c r="Z41" s="174"/>
      <c r="AB41" s="371"/>
      <c r="AC41" s="235"/>
      <c r="AD41" s="176" t="s">
        <v>195</v>
      </c>
      <c r="AE41" s="371"/>
      <c r="AF41" s="371"/>
      <c r="AG41" s="371"/>
      <c r="AI41" s="371"/>
      <c r="AJ41" s="371"/>
      <c r="AK41" s="235"/>
      <c r="AL41" s="176" t="s">
        <v>195</v>
      </c>
      <c r="AM41" s="373"/>
      <c r="AN41" s="373"/>
      <c r="AO41" s="24"/>
      <c r="AP41" s="96"/>
      <c r="AQ41" s="96"/>
      <c r="AR41" s="96"/>
      <c r="AS41" s="99"/>
      <c r="AT41" s="176" t="s">
        <v>195</v>
      </c>
      <c r="AU41" s="176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</row>
    <row r="42" spans="1:166" s="43" customFormat="1" ht="12.75" customHeight="1">
      <c r="A42" s="235"/>
      <c r="B42" s="370"/>
      <c r="C42" s="174" t="s">
        <v>579</v>
      </c>
      <c r="D42" s="237"/>
      <c r="E42" s="176"/>
      <c r="F42" s="237"/>
      <c r="G42" s="237"/>
      <c r="H42" s="237"/>
      <c r="I42" s="176"/>
      <c r="J42" s="174" t="s">
        <v>579</v>
      </c>
      <c r="K42" s="235"/>
      <c r="L42" s="176"/>
      <c r="M42" s="176"/>
      <c r="N42" s="235"/>
      <c r="O42" s="176"/>
      <c r="P42" s="174" t="s">
        <v>579</v>
      </c>
      <c r="Q42" s="237"/>
      <c r="R42" s="237"/>
      <c r="S42" s="237"/>
      <c r="T42" s="235"/>
      <c r="U42" s="237"/>
      <c r="V42" s="174" t="s">
        <v>579</v>
      </c>
      <c r="W42" s="176"/>
      <c r="X42" s="237"/>
      <c r="Y42" s="235"/>
      <c r="Z42" s="174"/>
      <c r="AB42" s="176"/>
      <c r="AC42" s="235"/>
      <c r="AD42" s="174" t="s">
        <v>579</v>
      </c>
      <c r="AE42" s="237"/>
      <c r="AF42" s="235"/>
      <c r="AG42" s="176"/>
      <c r="AI42" s="235"/>
      <c r="AJ42" s="235"/>
      <c r="AK42" s="235"/>
      <c r="AL42" s="174" t="s">
        <v>579</v>
      </c>
      <c r="AM42" s="373"/>
      <c r="AN42" s="373"/>
      <c r="AO42" s="21"/>
      <c r="AP42" s="48"/>
      <c r="AQ42" s="48"/>
      <c r="AR42" s="48"/>
      <c r="AS42" s="99"/>
      <c r="AT42" s="174" t="s">
        <v>579</v>
      </c>
      <c r="AU42" s="174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</row>
    <row r="43" spans="1:166" s="43" customFormat="1" ht="12.75" customHeight="1">
      <c r="A43" s="235"/>
      <c r="B43" s="370"/>
      <c r="C43" s="174" t="s">
        <v>198</v>
      </c>
      <c r="D43" s="237"/>
      <c r="E43" s="174"/>
      <c r="F43" s="237"/>
      <c r="G43" s="235"/>
      <c r="H43" s="235"/>
      <c r="I43" s="235"/>
      <c r="J43" s="174" t="s">
        <v>198</v>
      </c>
      <c r="K43" s="235"/>
      <c r="L43" s="174"/>
      <c r="M43" s="174"/>
      <c r="N43" s="235"/>
      <c r="O43" s="174"/>
      <c r="P43" s="174" t="s">
        <v>198</v>
      </c>
      <c r="Q43" s="237"/>
      <c r="R43" s="237"/>
      <c r="S43" s="237"/>
      <c r="T43" s="235"/>
      <c r="U43" s="237"/>
      <c r="V43" s="174" t="s">
        <v>198</v>
      </c>
      <c r="W43" s="174"/>
      <c r="X43" s="237"/>
      <c r="Y43" s="235"/>
      <c r="Z43" s="174"/>
      <c r="AB43" s="174"/>
      <c r="AC43" s="235"/>
      <c r="AD43" s="174" t="s">
        <v>198</v>
      </c>
      <c r="AE43" s="237"/>
      <c r="AF43" s="235"/>
      <c r="AG43" s="174"/>
      <c r="AI43" s="235"/>
      <c r="AJ43" s="235"/>
      <c r="AK43" s="235"/>
      <c r="AL43" s="174" t="s">
        <v>198</v>
      </c>
      <c r="AM43" s="373"/>
      <c r="AN43" s="373"/>
      <c r="AO43" s="21"/>
      <c r="AP43" s="48"/>
      <c r="AQ43" s="48"/>
      <c r="AR43" s="48"/>
      <c r="AS43" s="99"/>
      <c r="AT43" s="174" t="s">
        <v>198</v>
      </c>
      <c r="AU43" s="174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</row>
    <row r="44" spans="1:166" s="43" customFormat="1" ht="12.75" customHeight="1">
      <c r="A44" s="235"/>
      <c r="B44" s="370"/>
      <c r="C44" s="174" t="s">
        <v>199</v>
      </c>
      <c r="D44" s="237"/>
      <c r="E44" s="174"/>
      <c r="F44" s="237"/>
      <c r="G44" s="235"/>
      <c r="H44" s="235"/>
      <c r="I44" s="235"/>
      <c r="J44" s="174" t="s">
        <v>199</v>
      </c>
      <c r="K44" s="235"/>
      <c r="L44" s="174"/>
      <c r="M44" s="174"/>
      <c r="N44" s="235"/>
      <c r="O44" s="174"/>
      <c r="P44" s="174" t="s">
        <v>199</v>
      </c>
      <c r="Q44" s="237"/>
      <c r="R44" s="237"/>
      <c r="S44" s="237"/>
      <c r="T44" s="235"/>
      <c r="U44" s="237"/>
      <c r="V44" s="174" t="s">
        <v>199</v>
      </c>
      <c r="W44" s="174"/>
      <c r="X44" s="237"/>
      <c r="Y44" s="235"/>
      <c r="Z44" s="174"/>
      <c r="AB44" s="174"/>
      <c r="AC44" s="235"/>
      <c r="AD44" s="174" t="s">
        <v>199</v>
      </c>
      <c r="AE44" s="237"/>
      <c r="AF44" s="235"/>
      <c r="AG44" s="174"/>
      <c r="AI44" s="235"/>
      <c r="AJ44" s="235"/>
      <c r="AK44" s="235"/>
      <c r="AL44" s="174" t="s">
        <v>199</v>
      </c>
      <c r="AM44" s="373"/>
      <c r="AN44" s="373"/>
      <c r="AO44" s="21"/>
      <c r="AP44" s="48"/>
      <c r="AQ44" s="48"/>
      <c r="AR44" s="48"/>
      <c r="AS44" s="99"/>
      <c r="AT44" s="174" t="s">
        <v>199</v>
      </c>
      <c r="AU44" s="174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</row>
    <row r="45" spans="1:166" s="43" customFormat="1" ht="12.75" customHeight="1">
      <c r="A45" s="235"/>
      <c r="B45" s="370"/>
      <c r="C45" s="174" t="s">
        <v>200</v>
      </c>
      <c r="D45" s="237"/>
      <c r="E45" s="174"/>
      <c r="F45" s="237"/>
      <c r="G45" s="237"/>
      <c r="H45" s="237"/>
      <c r="I45" s="174"/>
      <c r="J45" s="174" t="s">
        <v>200</v>
      </c>
      <c r="K45" s="235"/>
      <c r="L45" s="174"/>
      <c r="M45" s="174"/>
      <c r="N45" s="235"/>
      <c r="O45" s="174"/>
      <c r="P45" s="174" t="s">
        <v>200</v>
      </c>
      <c r="Q45" s="237"/>
      <c r="R45" s="237"/>
      <c r="S45" s="237"/>
      <c r="T45" s="235"/>
      <c r="U45" s="237"/>
      <c r="V45" s="174" t="s">
        <v>200</v>
      </c>
      <c r="W45" s="174"/>
      <c r="X45" s="237"/>
      <c r="Y45" s="235"/>
      <c r="Z45" s="174"/>
      <c r="AB45" s="174"/>
      <c r="AC45" s="235"/>
      <c r="AD45" s="174" t="s">
        <v>200</v>
      </c>
      <c r="AE45" s="237"/>
      <c r="AF45" s="235"/>
      <c r="AG45" s="174"/>
      <c r="AI45" s="235"/>
      <c r="AJ45" s="235"/>
      <c r="AK45" s="235"/>
      <c r="AL45" s="174" t="s">
        <v>200</v>
      </c>
      <c r="AM45" s="373"/>
      <c r="AN45" s="373"/>
      <c r="AO45" s="21"/>
      <c r="AP45" s="48"/>
      <c r="AQ45" s="48"/>
      <c r="AR45" s="48"/>
      <c r="AS45" s="99"/>
      <c r="AT45" s="174" t="s">
        <v>200</v>
      </c>
      <c r="AU45" s="174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</row>
    <row r="46" spans="1:166" s="43" customFormat="1" ht="12.75" customHeight="1">
      <c r="A46" s="235"/>
      <c r="B46" s="370"/>
      <c r="C46" s="174" t="s">
        <v>201</v>
      </c>
      <c r="D46" s="237"/>
      <c r="E46" s="174"/>
      <c r="F46" s="237"/>
      <c r="G46" s="237"/>
      <c r="H46" s="237"/>
      <c r="I46" s="174"/>
      <c r="J46" s="174" t="s">
        <v>201</v>
      </c>
      <c r="K46" s="235"/>
      <c r="L46" s="174"/>
      <c r="M46" s="174"/>
      <c r="N46" s="235"/>
      <c r="O46" s="174"/>
      <c r="P46" s="174" t="s">
        <v>201</v>
      </c>
      <c r="Q46" s="237"/>
      <c r="R46" s="237"/>
      <c r="S46" s="237"/>
      <c r="T46" s="235"/>
      <c r="U46" s="237"/>
      <c r="V46" s="174" t="s">
        <v>201</v>
      </c>
      <c r="W46" s="174"/>
      <c r="X46" s="237"/>
      <c r="Y46" s="235"/>
      <c r="Z46" s="174"/>
      <c r="AB46" s="174"/>
      <c r="AC46" s="235"/>
      <c r="AD46" s="174" t="s">
        <v>201</v>
      </c>
      <c r="AE46" s="237"/>
      <c r="AF46" s="235"/>
      <c r="AG46" s="174"/>
      <c r="AI46" s="174"/>
      <c r="AJ46" s="174"/>
      <c r="AK46" s="235"/>
      <c r="AL46" s="174" t="s">
        <v>201</v>
      </c>
      <c r="AM46" s="373"/>
      <c r="AN46" s="373"/>
      <c r="AO46" s="21"/>
      <c r="AP46" s="48"/>
      <c r="AQ46" s="48"/>
      <c r="AR46" s="48"/>
      <c r="AS46" s="99"/>
      <c r="AT46" s="174" t="s">
        <v>201</v>
      </c>
      <c r="AU46" s="174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</row>
    <row r="47" spans="1:166" s="43" customFormat="1" ht="12.75" customHeight="1">
      <c r="A47" s="235"/>
      <c r="B47" s="370"/>
      <c r="C47" s="174" t="s">
        <v>580</v>
      </c>
      <c r="D47" s="237"/>
      <c r="E47" s="174"/>
      <c r="F47" s="237"/>
      <c r="G47" s="237"/>
      <c r="H47" s="237"/>
      <c r="I47" s="174"/>
      <c r="J47" s="174" t="s">
        <v>580</v>
      </c>
      <c r="K47" s="235"/>
      <c r="L47" s="174"/>
      <c r="M47" s="174"/>
      <c r="N47" s="235"/>
      <c r="O47" s="174"/>
      <c r="P47" s="174" t="s">
        <v>580</v>
      </c>
      <c r="Q47" s="237"/>
      <c r="R47" s="237"/>
      <c r="S47" s="237"/>
      <c r="T47" s="237"/>
      <c r="U47" s="237"/>
      <c r="V47" s="174" t="s">
        <v>580</v>
      </c>
      <c r="W47" s="174"/>
      <c r="X47" s="237"/>
      <c r="Y47" s="235"/>
      <c r="Z47" s="174"/>
      <c r="AB47" s="174"/>
      <c r="AC47" s="235"/>
      <c r="AD47" s="174" t="s">
        <v>580</v>
      </c>
      <c r="AE47" s="237"/>
      <c r="AF47" s="235"/>
      <c r="AG47" s="174"/>
      <c r="AI47" s="174"/>
      <c r="AJ47" s="174"/>
      <c r="AK47" s="235"/>
      <c r="AL47" s="174" t="s">
        <v>580</v>
      </c>
      <c r="AM47" s="373"/>
      <c r="AN47" s="373"/>
      <c r="AO47" s="21"/>
      <c r="AP47" s="48"/>
      <c r="AQ47" s="48"/>
      <c r="AR47" s="48"/>
      <c r="AS47" s="99"/>
      <c r="AT47" s="174" t="s">
        <v>580</v>
      </c>
      <c r="AU47" s="174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</row>
    <row r="48" spans="1:166" s="43" customFormat="1" ht="12.75" customHeight="1">
      <c r="A48" s="235"/>
      <c r="B48" s="370"/>
      <c r="C48" s="174" t="s">
        <v>581</v>
      </c>
      <c r="D48" s="237"/>
      <c r="E48" s="174"/>
      <c r="F48" s="237"/>
      <c r="G48" s="237"/>
      <c r="H48" s="237"/>
      <c r="I48" s="174"/>
      <c r="J48" s="174" t="s">
        <v>581</v>
      </c>
      <c r="K48" s="235"/>
      <c r="L48" s="174"/>
      <c r="M48" s="174"/>
      <c r="N48" s="235"/>
      <c r="O48" s="174"/>
      <c r="P48" s="174" t="s">
        <v>581</v>
      </c>
      <c r="Q48" s="237"/>
      <c r="R48" s="237"/>
      <c r="S48" s="237"/>
      <c r="T48" s="237"/>
      <c r="U48" s="237"/>
      <c r="V48" s="174" t="s">
        <v>581</v>
      </c>
      <c r="W48" s="174"/>
      <c r="X48" s="237"/>
      <c r="Y48" s="235"/>
      <c r="Z48" s="174"/>
      <c r="AB48" s="174"/>
      <c r="AC48" s="235"/>
      <c r="AD48" s="174" t="s">
        <v>581</v>
      </c>
      <c r="AE48" s="237"/>
      <c r="AF48" s="235"/>
      <c r="AG48" s="174"/>
      <c r="AI48" s="174"/>
      <c r="AJ48" s="174"/>
      <c r="AK48" s="235"/>
      <c r="AL48" s="174" t="s">
        <v>581</v>
      </c>
      <c r="AM48" s="373"/>
      <c r="AN48" s="373"/>
      <c r="AO48" s="21"/>
      <c r="AP48" s="48"/>
      <c r="AQ48" s="48"/>
      <c r="AR48" s="48"/>
      <c r="AS48" s="99"/>
      <c r="AT48" s="174" t="s">
        <v>581</v>
      </c>
      <c r="AU48" s="174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</row>
    <row r="49" spans="1:166" s="43" customFormat="1" ht="12.75" customHeight="1">
      <c r="A49" s="235"/>
      <c r="B49" s="370"/>
      <c r="C49" s="174" t="s">
        <v>202</v>
      </c>
      <c r="D49" s="237"/>
      <c r="E49" s="174"/>
      <c r="F49" s="237"/>
      <c r="G49" s="237"/>
      <c r="H49" s="237"/>
      <c r="I49" s="174"/>
      <c r="J49" s="174" t="s">
        <v>202</v>
      </c>
      <c r="K49" s="235"/>
      <c r="L49" s="174"/>
      <c r="M49" s="174"/>
      <c r="N49" s="235"/>
      <c r="O49" s="174"/>
      <c r="P49" s="174" t="s">
        <v>202</v>
      </c>
      <c r="Q49" s="237"/>
      <c r="R49" s="237"/>
      <c r="S49" s="237"/>
      <c r="T49" s="237"/>
      <c r="U49" s="237"/>
      <c r="V49" s="174" t="s">
        <v>202</v>
      </c>
      <c r="W49" s="174"/>
      <c r="X49" s="237"/>
      <c r="Y49" s="235"/>
      <c r="Z49" s="174"/>
      <c r="AB49" s="174"/>
      <c r="AC49" s="235"/>
      <c r="AD49" s="174" t="s">
        <v>202</v>
      </c>
      <c r="AE49" s="237"/>
      <c r="AF49" s="235"/>
      <c r="AG49" s="174"/>
      <c r="AI49" s="174"/>
      <c r="AJ49" s="174"/>
      <c r="AK49" s="235"/>
      <c r="AL49" s="174" t="s">
        <v>202</v>
      </c>
      <c r="AM49" s="237"/>
      <c r="AN49" s="174"/>
      <c r="AO49" s="21"/>
      <c r="AP49" s="48"/>
      <c r="AQ49" s="48"/>
      <c r="AR49" s="48"/>
      <c r="AS49" s="99"/>
      <c r="AT49" s="174" t="s">
        <v>202</v>
      </c>
      <c r="AU49" s="174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</row>
    <row r="50" spans="1:166" s="43" customFormat="1" ht="12.75" customHeight="1">
      <c r="A50" s="235"/>
      <c r="B50" s="370"/>
      <c r="C50" s="174" t="s">
        <v>582</v>
      </c>
      <c r="D50" s="237"/>
      <c r="E50" s="174"/>
      <c r="F50" s="237"/>
      <c r="G50" s="237"/>
      <c r="H50" s="237"/>
      <c r="I50" s="174"/>
      <c r="J50" s="174" t="s">
        <v>582</v>
      </c>
      <c r="K50" s="235"/>
      <c r="L50" s="174"/>
      <c r="M50" s="174"/>
      <c r="N50" s="235"/>
      <c r="O50" s="174"/>
      <c r="P50" s="174" t="s">
        <v>582</v>
      </c>
      <c r="Q50" s="237"/>
      <c r="R50" s="237"/>
      <c r="S50" s="237"/>
      <c r="T50" s="237"/>
      <c r="U50" s="237"/>
      <c r="V50" s="174" t="s">
        <v>582</v>
      </c>
      <c r="W50" s="174"/>
      <c r="X50" s="237"/>
      <c r="Y50" s="235"/>
      <c r="Z50" s="174"/>
      <c r="AB50" s="174"/>
      <c r="AC50" s="235"/>
      <c r="AD50" s="174" t="s">
        <v>582</v>
      </c>
      <c r="AE50" s="237"/>
      <c r="AF50" s="235"/>
      <c r="AG50" s="174"/>
      <c r="AI50" s="174"/>
      <c r="AJ50" s="174"/>
      <c r="AK50" s="235"/>
      <c r="AL50" s="174" t="s">
        <v>582</v>
      </c>
      <c r="AM50" s="237"/>
      <c r="AN50" s="174"/>
      <c r="AO50" s="21"/>
      <c r="AP50" s="48"/>
      <c r="AQ50" s="48"/>
      <c r="AR50" s="48"/>
      <c r="AS50" s="99"/>
      <c r="AT50" s="174" t="s">
        <v>582</v>
      </c>
      <c r="AU50" s="174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</row>
    <row r="51" spans="1:166" s="43" customFormat="1" ht="12.75" customHeight="1">
      <c r="A51" s="235"/>
      <c r="B51" s="370"/>
      <c r="C51" s="174" t="s">
        <v>203</v>
      </c>
      <c r="D51" s="237"/>
      <c r="E51" s="174"/>
      <c r="F51" s="237"/>
      <c r="G51" s="237"/>
      <c r="H51" s="237"/>
      <c r="I51" s="174"/>
      <c r="J51" s="174" t="s">
        <v>203</v>
      </c>
      <c r="K51" s="235"/>
      <c r="L51" s="174"/>
      <c r="M51" s="174"/>
      <c r="N51" s="235"/>
      <c r="O51" s="174"/>
      <c r="P51" s="174" t="s">
        <v>203</v>
      </c>
      <c r="Q51" s="237"/>
      <c r="R51" s="237"/>
      <c r="S51" s="237"/>
      <c r="T51" s="237"/>
      <c r="U51" s="237"/>
      <c r="V51" s="174" t="s">
        <v>203</v>
      </c>
      <c r="W51" s="174"/>
      <c r="X51" s="237"/>
      <c r="Y51" s="235"/>
      <c r="Z51" s="174"/>
      <c r="AB51" s="174"/>
      <c r="AC51" s="235"/>
      <c r="AD51" s="174" t="s">
        <v>203</v>
      </c>
      <c r="AE51" s="237"/>
      <c r="AF51" s="235"/>
      <c r="AG51" s="174"/>
      <c r="AI51" s="174"/>
      <c r="AJ51" s="174"/>
      <c r="AK51" s="235"/>
      <c r="AL51" s="174" t="s">
        <v>203</v>
      </c>
      <c r="AM51" s="237"/>
      <c r="AN51" s="174"/>
      <c r="AO51" s="21"/>
      <c r="AP51" s="48"/>
      <c r="AQ51" s="48"/>
      <c r="AR51" s="48"/>
      <c r="AS51" s="94"/>
      <c r="AT51" s="174" t="s">
        <v>203</v>
      </c>
      <c r="AU51" s="174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</row>
    <row r="52" spans="2:166" s="43" customFormat="1" ht="12.75" customHeight="1">
      <c r="B52" s="95"/>
      <c r="C52" s="21"/>
      <c r="D52" s="48"/>
      <c r="E52" s="48"/>
      <c r="F52" s="48"/>
      <c r="G52" s="48"/>
      <c r="H52" s="48"/>
      <c r="I52" s="48"/>
      <c r="J52" s="48"/>
      <c r="K52" s="21"/>
      <c r="L52" s="21"/>
      <c r="M52" s="21"/>
      <c r="N52" s="21"/>
      <c r="O52" s="48"/>
      <c r="P52" s="21"/>
      <c r="Q52" s="48"/>
      <c r="R52" s="48"/>
      <c r="S52" s="48"/>
      <c r="T52" s="48"/>
      <c r="U52" s="48"/>
      <c r="V52" s="21"/>
      <c r="W52" s="21"/>
      <c r="X52" s="48"/>
      <c r="Y52" s="48"/>
      <c r="Z52" s="21"/>
      <c r="AA52" s="21"/>
      <c r="AB52" s="21"/>
      <c r="AC52" s="48"/>
      <c r="AD52" s="44"/>
      <c r="AE52" s="48"/>
      <c r="AF52" s="48"/>
      <c r="AG52" s="48"/>
      <c r="AH52" s="48"/>
      <c r="AI52" s="21"/>
      <c r="AJ52" s="21"/>
      <c r="AK52" s="48"/>
      <c r="AL52" s="48"/>
      <c r="AM52" s="48"/>
      <c r="AN52" s="21"/>
      <c r="AO52" s="21"/>
      <c r="AP52" s="48"/>
      <c r="AQ52" s="48"/>
      <c r="AR52" s="48"/>
      <c r="AS52" s="94"/>
      <c r="AT52" s="88"/>
      <c r="AU52" s="88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</row>
    <row r="53" spans="2:166" s="43" customFormat="1" ht="12.75" customHeight="1">
      <c r="B53" s="95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100"/>
      <c r="AT53" s="101"/>
      <c r="AU53" s="101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</row>
    <row r="54" spans="2:166" s="43" customFormat="1" ht="12.75" customHeight="1">
      <c r="B54" s="9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0"/>
      <c r="N54" s="50"/>
      <c r="O54" s="48"/>
      <c r="P54" s="21"/>
      <c r="Q54" s="49"/>
      <c r="R54" s="49"/>
      <c r="S54" s="49"/>
      <c r="T54" s="49"/>
      <c r="U54" s="49"/>
      <c r="V54" s="50"/>
      <c r="W54" s="50"/>
      <c r="X54" s="49"/>
      <c r="Y54" s="49"/>
      <c r="Z54" s="50"/>
      <c r="AA54" s="49"/>
      <c r="AB54" s="49"/>
      <c r="AC54" s="49"/>
      <c r="AE54" s="48"/>
      <c r="AF54" s="49"/>
      <c r="AG54" s="49"/>
      <c r="AH54" s="49"/>
      <c r="AI54" s="49"/>
      <c r="AJ54" s="49"/>
      <c r="AK54" s="49"/>
      <c r="AL54" s="49"/>
      <c r="AM54" s="49"/>
      <c r="AN54" s="49"/>
      <c r="AO54" s="48"/>
      <c r="AP54" s="48"/>
      <c r="AQ54" s="48"/>
      <c r="AR54" s="49"/>
      <c r="AS54" s="100"/>
      <c r="AT54" s="101"/>
      <c r="AU54" s="101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</row>
    <row r="55" spans="2:166" s="43" customFormat="1" ht="12.75" customHeight="1">
      <c r="B55" s="9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50"/>
      <c r="N55" s="50"/>
      <c r="O55" s="48"/>
      <c r="P55" s="21"/>
      <c r="Q55" s="49"/>
      <c r="R55" s="49"/>
      <c r="S55" s="49"/>
      <c r="T55" s="49"/>
      <c r="U55" s="49"/>
      <c r="V55" s="50"/>
      <c r="W55" s="50"/>
      <c r="X55" s="49"/>
      <c r="Y55" s="49"/>
      <c r="Z55" s="50"/>
      <c r="AA55" s="49"/>
      <c r="AB55" s="49"/>
      <c r="AC55" s="49"/>
      <c r="AE55" s="48"/>
      <c r="AF55" s="49"/>
      <c r="AG55" s="49"/>
      <c r="AH55" s="49"/>
      <c r="AI55" s="49"/>
      <c r="AJ55" s="49"/>
      <c r="AK55" s="49"/>
      <c r="AL55" s="49"/>
      <c r="AM55" s="49"/>
      <c r="AN55" s="49"/>
      <c r="AO55" s="48"/>
      <c r="AP55" s="48"/>
      <c r="AQ55" s="48"/>
      <c r="AR55" s="49"/>
      <c r="AS55" s="100"/>
      <c r="AT55" s="101"/>
      <c r="AU55" s="101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</row>
    <row r="56" spans="1:47" ht="12.75" customHeight="1">
      <c r="A56" s="167" t="s">
        <v>289</v>
      </c>
      <c r="B56" s="388"/>
      <c r="C56" s="222" t="s">
        <v>305</v>
      </c>
      <c r="D56" s="222" t="s">
        <v>306</v>
      </c>
      <c r="E56" s="222" t="s">
        <v>307</v>
      </c>
      <c r="F56" s="222" t="s">
        <v>313</v>
      </c>
      <c r="G56" s="222" t="s">
        <v>298</v>
      </c>
      <c r="H56" s="222" t="s">
        <v>299</v>
      </c>
      <c r="I56" s="222" t="s">
        <v>300</v>
      </c>
      <c r="J56" s="222" t="s">
        <v>317</v>
      </c>
      <c r="K56" s="222" t="s">
        <v>318</v>
      </c>
      <c r="L56" s="222" t="s">
        <v>319</v>
      </c>
      <c r="M56" s="222" t="s">
        <v>320</v>
      </c>
      <c r="N56" s="222" t="s">
        <v>321</v>
      </c>
      <c r="O56" s="222" t="s">
        <v>322</v>
      </c>
      <c r="P56" s="222" t="s">
        <v>290</v>
      </c>
      <c r="Q56" s="222" t="s">
        <v>291</v>
      </c>
      <c r="R56" s="222" t="s">
        <v>292</v>
      </c>
      <c r="S56" s="222" t="s">
        <v>293</v>
      </c>
      <c r="T56" s="222" t="s">
        <v>593</v>
      </c>
      <c r="U56" s="222" t="s">
        <v>594</v>
      </c>
      <c r="V56" s="222" t="s">
        <v>324</v>
      </c>
      <c r="W56" s="222" t="s">
        <v>325</v>
      </c>
      <c r="X56" s="222" t="s">
        <v>326</v>
      </c>
      <c r="Y56" s="222" t="s">
        <v>327</v>
      </c>
      <c r="Z56" s="222" t="s">
        <v>328</v>
      </c>
      <c r="AA56" s="222" t="s">
        <v>295</v>
      </c>
      <c r="AB56" s="222" t="s">
        <v>296</v>
      </c>
      <c r="AC56" s="222" t="s">
        <v>297</v>
      </c>
      <c r="AD56" s="222" t="s">
        <v>323</v>
      </c>
      <c r="AE56" s="167" t="s">
        <v>294</v>
      </c>
      <c r="AF56" s="222" t="s">
        <v>311</v>
      </c>
      <c r="AG56" s="222" t="s">
        <v>312</v>
      </c>
      <c r="AH56" s="222" t="s">
        <v>301</v>
      </c>
      <c r="AI56" s="222" t="s">
        <v>302</v>
      </c>
      <c r="AJ56" s="222" t="s">
        <v>303</v>
      </c>
      <c r="AK56" s="222" t="s">
        <v>304</v>
      </c>
      <c r="AL56" s="222" t="s">
        <v>308</v>
      </c>
      <c r="AM56" s="222" t="s">
        <v>308</v>
      </c>
      <c r="AN56" s="222" t="s">
        <v>309</v>
      </c>
      <c r="AO56" s="167" t="s">
        <v>314</v>
      </c>
      <c r="AP56" s="167" t="s">
        <v>315</v>
      </c>
      <c r="AQ56" s="167" t="s">
        <v>316</v>
      </c>
      <c r="AR56" s="222" t="s">
        <v>310</v>
      </c>
      <c r="AS56" s="1"/>
      <c r="AT56" s="180"/>
      <c r="AU56" s="180"/>
    </row>
    <row r="57" spans="1:166" s="43" customFormat="1" ht="12.75" customHeight="1">
      <c r="A57" s="174"/>
      <c r="B57" s="388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41"/>
      <c r="N57" s="241"/>
      <c r="O57" s="237"/>
      <c r="P57" s="239"/>
      <c r="Q57" s="239"/>
      <c r="R57" s="239"/>
      <c r="S57" s="239"/>
      <c r="T57" s="239"/>
      <c r="U57" s="239"/>
      <c r="V57" s="241"/>
      <c r="W57" s="241"/>
      <c r="X57" s="239"/>
      <c r="Y57" s="239"/>
      <c r="Z57" s="241"/>
      <c r="AA57" s="239"/>
      <c r="AB57" s="239"/>
      <c r="AC57" s="239"/>
      <c r="AD57" s="235"/>
      <c r="AE57" s="237"/>
      <c r="AF57" s="239"/>
      <c r="AG57" s="239"/>
      <c r="AH57" s="239"/>
      <c r="AI57" s="239"/>
      <c r="AJ57" s="239"/>
      <c r="AK57" s="239"/>
      <c r="AL57" s="239"/>
      <c r="AM57" s="239"/>
      <c r="AN57" s="239"/>
      <c r="AO57" s="237"/>
      <c r="AP57" s="237"/>
      <c r="AQ57" s="237"/>
      <c r="AR57" s="239"/>
      <c r="AS57" s="399"/>
      <c r="AT57" s="400"/>
      <c r="AU57" s="40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</row>
    <row r="58" spans="1:48" ht="12.75" customHeight="1">
      <c r="A58" s="194" t="s">
        <v>206</v>
      </c>
      <c r="B58" s="359"/>
      <c r="C58" s="222"/>
      <c r="D58" s="222"/>
      <c r="E58" s="241"/>
      <c r="F58" s="241"/>
      <c r="G58" s="222"/>
      <c r="H58" s="222"/>
      <c r="I58" s="222"/>
      <c r="J58" s="222"/>
      <c r="K58" s="222"/>
      <c r="L58" s="222"/>
      <c r="M58" s="222"/>
      <c r="N58" s="222"/>
      <c r="O58" s="241"/>
      <c r="P58" s="222"/>
      <c r="Q58" s="222"/>
      <c r="R58" s="222"/>
      <c r="S58" s="222"/>
      <c r="T58" s="222"/>
      <c r="U58" s="222"/>
      <c r="V58" s="222"/>
      <c r="W58" s="222"/>
      <c r="X58" s="241"/>
      <c r="Y58" s="241"/>
      <c r="Z58" s="248"/>
      <c r="AA58" s="222"/>
      <c r="AB58" s="222"/>
      <c r="AC58" s="222"/>
      <c r="AD58" s="241"/>
      <c r="AE58" s="167"/>
      <c r="AF58" s="222"/>
      <c r="AG58" s="241"/>
      <c r="AH58" s="222"/>
      <c r="AI58" s="222"/>
      <c r="AJ58" s="222"/>
      <c r="AK58" s="222"/>
      <c r="AL58" s="241"/>
      <c r="AM58" s="222"/>
      <c r="AN58" s="222"/>
      <c r="AO58" s="174"/>
      <c r="AP58" s="174"/>
      <c r="AQ58" s="174"/>
      <c r="AR58" s="222"/>
      <c r="AS58" s="401"/>
      <c r="AT58" s="402"/>
      <c r="AU58" s="402"/>
      <c r="AV58" s="50"/>
    </row>
    <row r="59" spans="1:48" ht="12.75" customHeight="1">
      <c r="A59" s="194" t="s">
        <v>172</v>
      </c>
      <c r="B59" s="359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74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403"/>
      <c r="AT59" s="178"/>
      <c r="AU59" s="178"/>
      <c r="AV59" s="21"/>
    </row>
    <row r="60" spans="1:48" ht="12.75" customHeight="1">
      <c r="A60" s="174" t="s">
        <v>207</v>
      </c>
      <c r="B60" s="359"/>
      <c r="C60" s="178">
        <f>+'5.1. Séreignard.'!C32-'5.1. Séreignard.'!C40</f>
        <v>177300</v>
      </c>
      <c r="D60" s="178">
        <f>+'5.1. Séreignard.'!D32-'5.1. Séreignard.'!D40</f>
        <v>79491</v>
      </c>
      <c r="E60" s="178">
        <f>+'5.1. Séreignard.'!E32-'5.1. Séreignard.'!E40</f>
        <v>58080</v>
      </c>
      <c r="F60" s="178">
        <f>+'5.1. Séreignard.'!F32-'5.1. Séreignard.'!F40</f>
        <v>409784</v>
      </c>
      <c r="G60" s="178">
        <f>+'5.1. Séreignard.'!G32-'5.1. Séreignard.'!G40</f>
        <v>30855</v>
      </c>
      <c r="H60" s="178">
        <f>+'5.1. Séreignard.'!H32-'5.1. Séreignard.'!H40</f>
        <v>70820</v>
      </c>
      <c r="I60" s="178">
        <f>+'5.1. Séreignard.'!I32-'5.1. Séreignard.'!I40</f>
        <v>2282</v>
      </c>
      <c r="J60" s="178">
        <f>+'5.1. Séreignard.'!J32-'5.1. Séreignard.'!J40</f>
        <v>1339</v>
      </c>
      <c r="K60" s="178">
        <f>+'5.1. Séreignard.'!K32-'5.1. Séreignard.'!K40</f>
        <v>12725</v>
      </c>
      <c r="L60" s="178">
        <f>+'5.1. Séreignard.'!L32-'5.1. Séreignard.'!L40</f>
        <v>7863</v>
      </c>
      <c r="M60" s="178">
        <f>+'5.1. Séreignard.'!M32-'5.1. Séreignard.'!M40</f>
        <v>564</v>
      </c>
      <c r="N60" s="178">
        <f>+'5.1. Séreignard.'!N32-'5.1. Séreignard.'!N40</f>
        <v>21988</v>
      </c>
      <c r="O60" s="178">
        <f>+'5.1. Séreignard.'!O32-'5.1. Séreignard.'!O40</f>
        <v>262485</v>
      </c>
      <c r="P60" s="178">
        <f>+'5.1. Séreignard.'!P32-'5.1. Séreignard.'!P40</f>
        <v>139500</v>
      </c>
      <c r="Q60" s="178">
        <f>+'5.1. Séreignard.'!Q32-'5.1. Séreignard.'!Q40</f>
        <v>567166</v>
      </c>
      <c r="R60" s="178">
        <f>+'5.1. Séreignard.'!R32-'5.1. Séreignard.'!R40</f>
        <v>175745</v>
      </c>
      <c r="S60" s="178">
        <f>+'5.1. Séreignard.'!S32-'5.1. Séreignard.'!S40</f>
        <v>204139</v>
      </c>
      <c r="T60" s="178">
        <f>+'5.1. Séreignard.'!T32-'5.1. Séreignard.'!T40</f>
        <v>66077</v>
      </c>
      <c r="U60" s="178">
        <f>+'5.1. Séreignard.'!U32-'5.1. Séreignard.'!U40</f>
        <v>205511</v>
      </c>
      <c r="V60" s="178">
        <f>+'5.1. Séreignard.'!V32-'5.1. Séreignard.'!V40</f>
        <v>1308</v>
      </c>
      <c r="W60" s="178">
        <f>+'5.1. Séreignard.'!W32-'5.1. Séreignard.'!W40</f>
        <v>95188</v>
      </c>
      <c r="X60" s="178">
        <f>+'5.1. Séreignard.'!X32-'5.1. Séreignard.'!X40</f>
        <v>14683</v>
      </c>
      <c r="Y60" s="178">
        <f>+'5.1. Séreignard.'!Y32-'5.1. Séreignard.'!Y40</f>
        <v>2867</v>
      </c>
      <c r="Z60" s="178">
        <f>+'5.1. Séreignard.'!Z32-'5.1. Séreignard.'!Z40</f>
        <v>135213</v>
      </c>
      <c r="AA60" s="178">
        <f>+'5.1. Séreignard.'!AA32-'5.1. Séreignard.'!AA40</f>
        <v>873853</v>
      </c>
      <c r="AB60" s="178">
        <f>+'5.1. Séreignard.'!AB32-'5.1. Séreignard.'!AB40</f>
        <v>140624</v>
      </c>
      <c r="AC60" s="178">
        <f>+'5.1. Séreignard.'!AC32-'5.1. Séreignard.'!AC40</f>
        <v>490052</v>
      </c>
      <c r="AD60" s="178">
        <f>+'5.1. Séreignard.'!AD32-'5.1. Séreignard.'!AD40</f>
        <v>14694</v>
      </c>
      <c r="AE60" s="178">
        <f>+'5.1. Séreignard.'!AE32-'5.1. Séreignard.'!AE40</f>
        <v>5920</v>
      </c>
      <c r="AF60" s="178">
        <f>+'5.1. Séreignard.'!AF32-'5.1. Séreignard.'!AF40</f>
        <v>141092</v>
      </c>
      <c r="AG60" s="178">
        <f>+'5.1. Séreignard.'!AG32-'5.1. Séreignard.'!AG40</f>
        <v>3352</v>
      </c>
      <c r="AH60" s="178">
        <f>+'5.1. Séreignard.'!AH32-'5.1. Séreignard.'!AH40</f>
        <v>731062</v>
      </c>
      <c r="AI60" s="178">
        <f>+'5.1. Séreignard.'!AI32-'5.1. Séreignard.'!AI40</f>
        <v>483126</v>
      </c>
      <c r="AJ60" s="178">
        <f>+'5.1. Séreignard.'!AJ32-'5.1. Séreignard.'!AJ40</f>
        <v>410899</v>
      </c>
      <c r="AK60" s="178">
        <f>+'5.1. Séreignard.'!AK32-'5.1. Séreignard.'!AK40</f>
        <v>312140</v>
      </c>
      <c r="AL60" s="178">
        <f>+'5.1. Séreignard.'!AL32-'5.1. Séreignard.'!AL40</f>
        <v>12907</v>
      </c>
      <c r="AM60" s="178">
        <f>+'5.1. Séreignard.'!AM32-'5.1. Séreignard.'!AM40</f>
        <v>4037</v>
      </c>
      <c r="AN60" s="178">
        <f>+'5.1. Séreignard.'!AN32-'5.1. Séreignard.'!AN40</f>
        <v>5986</v>
      </c>
      <c r="AO60" s="178">
        <f>+'5.1. Séreignard.'!AO32-'5.1. Séreignard.'!AO40</f>
        <v>29987</v>
      </c>
      <c r="AP60" s="178">
        <f>+'5.1. Séreignard.'!AP32-'5.1. Séreignard.'!AP40</f>
        <v>-1488</v>
      </c>
      <c r="AQ60" s="178">
        <f>+'5.1. Séreignard.'!AQ32-'5.1. Séreignard.'!AQ40</f>
        <v>-711</v>
      </c>
      <c r="AR60" s="178">
        <f>+'5.1. Séreignard.'!AR32-'5.1. Séreignard.'!AR40</f>
        <v>160173</v>
      </c>
      <c r="AS60" s="178"/>
      <c r="AT60" s="178">
        <f>+'5.1. Séreignard.'!AT32-'5.1. Séreignard.'!AT40</f>
        <v>6560678</v>
      </c>
      <c r="AU60" s="178"/>
      <c r="AV60" s="21"/>
    </row>
    <row r="61" spans="1:48" ht="12.75" customHeight="1">
      <c r="A61" s="174" t="s">
        <v>208</v>
      </c>
      <c r="B61" s="359"/>
      <c r="C61" s="178">
        <f>+'5.1. Séreignard.'!C45+'5.1. Séreignard.'!C49-'5.1. Séreignard.'!C47</f>
        <v>3027</v>
      </c>
      <c r="D61" s="178">
        <f>+'5.1. Séreignard.'!D45+'5.1. Séreignard.'!D49-'5.1. Séreignard.'!D47</f>
        <v>1012</v>
      </c>
      <c r="E61" s="178">
        <f>+'5.1. Séreignard.'!E45+'5.1. Séreignard.'!E49-'5.1. Séreignard.'!E47</f>
        <v>354</v>
      </c>
      <c r="F61" s="178">
        <f>+'5.1. Séreignard.'!F45+'5.1. Séreignard.'!F49-'5.1. Séreignard.'!F47</f>
        <v>1668</v>
      </c>
      <c r="G61" s="178">
        <f>+'5.1. Séreignard.'!G45+'5.1. Séreignard.'!G49-'5.1. Séreignard.'!G47</f>
        <v>3368</v>
      </c>
      <c r="H61" s="178">
        <f>+'5.1. Séreignard.'!H45+'5.1. Séreignard.'!H49-'5.1. Séreignard.'!H47</f>
        <v>6493</v>
      </c>
      <c r="I61" s="178">
        <f>+'5.1. Séreignard.'!I45+'5.1. Séreignard.'!I49-'5.1. Séreignard.'!I47</f>
        <v>0</v>
      </c>
      <c r="J61" s="178">
        <f>+'5.1. Séreignard.'!J45+'5.1. Séreignard.'!J49-'5.1. Séreignard.'!J47</f>
        <v>75</v>
      </c>
      <c r="K61" s="178">
        <f>+'5.1. Séreignard.'!K45+'5.1. Séreignard.'!K49-'5.1. Séreignard.'!K47</f>
        <v>199</v>
      </c>
      <c r="L61" s="178">
        <f>+'5.1. Séreignard.'!L45+'5.1. Séreignard.'!L49-'5.1. Séreignard.'!L47</f>
        <v>84</v>
      </c>
      <c r="M61" s="178">
        <f>+'5.1. Séreignard.'!M45+'5.1. Séreignard.'!M49-'5.1. Séreignard.'!M47</f>
        <v>4</v>
      </c>
      <c r="N61" s="178">
        <f>+'5.1. Séreignard.'!N45+'5.1. Séreignard.'!N49-'5.1. Séreignard.'!N47</f>
        <v>335</v>
      </c>
      <c r="O61" s="178">
        <f>+'5.1. Séreignard.'!O45+'5.1. Séreignard.'!O49-'5.1. Séreignard.'!O47</f>
        <v>2255</v>
      </c>
      <c r="P61" s="178">
        <f>+'5.1. Séreignard.'!P45+'5.1. Séreignard.'!P49-'5.1. Séreignard.'!P47</f>
        <v>11480</v>
      </c>
      <c r="Q61" s="178">
        <f>+'5.1. Séreignard.'!Q45+'5.1. Séreignard.'!Q49-'5.1. Séreignard.'!Q47</f>
        <v>32637</v>
      </c>
      <c r="R61" s="178">
        <f>+'5.1. Séreignard.'!R45+'5.1. Séreignard.'!R49-'5.1. Séreignard.'!R47</f>
        <v>2752</v>
      </c>
      <c r="S61" s="178">
        <f>+'5.1. Séreignard.'!S45+'5.1. Séreignard.'!S49-'5.1. Séreignard.'!S47</f>
        <v>1799</v>
      </c>
      <c r="T61" s="178">
        <f>+'5.1. Séreignard.'!T45+'5.1. Séreignard.'!T49-'5.1. Séreignard.'!T47</f>
        <v>2044</v>
      </c>
      <c r="U61" s="178">
        <f>+'5.1. Séreignard.'!U45+'5.1. Séreignard.'!U49-'5.1. Séreignard.'!U47</f>
        <v>6163</v>
      </c>
      <c r="V61" s="178">
        <f>+'5.1. Séreignard.'!V45+'5.1. Séreignard.'!V49-'5.1. Séreignard.'!V47</f>
        <v>17</v>
      </c>
      <c r="W61" s="178">
        <f>+'5.1. Séreignard.'!W45+'5.1. Séreignard.'!W49-'5.1. Séreignard.'!W47</f>
        <v>2460</v>
      </c>
      <c r="X61" s="178">
        <f>+'5.1. Séreignard.'!X45+'5.1. Séreignard.'!X49-'5.1. Séreignard.'!X47</f>
        <v>596</v>
      </c>
      <c r="Y61" s="178">
        <f>+'5.1. Séreignard.'!Y45+'5.1. Séreignard.'!Y49-'5.1. Séreignard.'!Y47</f>
        <v>452</v>
      </c>
      <c r="Z61" s="178">
        <f>+'5.1. Séreignard.'!Z45+'5.1. Séreignard.'!Z49-'5.1. Séreignard.'!Z47</f>
        <v>12151</v>
      </c>
      <c r="AA61" s="178">
        <f>+'5.1. Séreignard.'!AA45+'5.1. Séreignard.'!AA49-'5.1. Séreignard.'!AA47</f>
        <v>60616</v>
      </c>
      <c r="AB61" s="178">
        <f>+'5.1. Séreignard.'!AB45+'5.1. Séreignard.'!AB49-'5.1. Séreignard.'!AB47</f>
        <v>3767</v>
      </c>
      <c r="AC61" s="178">
        <f>+'5.1. Séreignard.'!AC45+'5.1. Séreignard.'!AC49-'5.1. Séreignard.'!AC47</f>
        <v>6326</v>
      </c>
      <c r="AD61" s="178">
        <f>+'5.1. Séreignard.'!AD45+'5.1. Séreignard.'!AD49-'5.1. Séreignard.'!AD47</f>
        <v>625</v>
      </c>
      <c r="AE61" s="178">
        <f>+'5.1. Séreignard.'!AE45+'5.1. Séreignard.'!AE49-'5.1. Séreignard.'!AE47</f>
        <v>120</v>
      </c>
      <c r="AF61" s="178">
        <f>+'5.1. Séreignard.'!AF45+'5.1. Séreignard.'!AF49-'5.1. Séreignard.'!AF47</f>
        <v>1588</v>
      </c>
      <c r="AG61" s="178">
        <f>+'5.1. Séreignard.'!AG45+'5.1. Séreignard.'!AG49-'5.1. Séreignard.'!AG47</f>
        <v>62</v>
      </c>
      <c r="AH61" s="178">
        <f>+'5.1. Séreignard.'!AH45+'5.1. Séreignard.'!AH49-'5.1. Séreignard.'!AH47</f>
        <v>38912</v>
      </c>
      <c r="AI61" s="178">
        <f>+'5.1. Séreignard.'!AI45+'5.1. Séreignard.'!AI49-'5.1. Séreignard.'!AI47</f>
        <v>24899</v>
      </c>
      <c r="AJ61" s="178">
        <f>+'5.1. Séreignard.'!AJ45+'5.1. Séreignard.'!AJ49-'5.1. Séreignard.'!AJ47</f>
        <v>17284</v>
      </c>
      <c r="AK61" s="178">
        <f>+'5.1. Séreignard.'!AK45+'5.1. Séreignard.'!AK49-'5.1. Séreignard.'!AK47</f>
        <v>5020</v>
      </c>
      <c r="AL61" s="178">
        <f>+'5.1. Séreignard.'!AL45+'5.1. Séreignard.'!AL49-'5.1. Séreignard.'!AL47</f>
        <v>100</v>
      </c>
      <c r="AM61" s="178">
        <f>+'5.1. Séreignard.'!AM45+'5.1. Séreignard.'!AM49-'5.1. Séreignard.'!AM47</f>
        <v>100</v>
      </c>
      <c r="AN61" s="178">
        <f>+'5.1. Séreignard.'!AN45+'5.1. Séreignard.'!AN49-'5.1. Séreignard.'!AN47</f>
        <v>100</v>
      </c>
      <c r="AO61" s="178">
        <f>+'5.1. Séreignard.'!AO45+'5.1. Séreignard.'!AO49-'5.1. Séreignard.'!AO47</f>
        <v>610</v>
      </c>
      <c r="AP61" s="178">
        <f>+'5.1. Séreignard.'!AP45+'5.1. Séreignard.'!AP49-'5.1. Séreignard.'!AP47</f>
        <v>44</v>
      </c>
      <c r="AQ61" s="178">
        <f>+'5.1. Séreignard.'!AQ45+'5.1. Séreignard.'!AQ49-'5.1. Séreignard.'!AQ47</f>
        <v>142</v>
      </c>
      <c r="AR61" s="178">
        <f>+'5.1. Séreignard.'!AR45+'5.1. Séreignard.'!AR49-'5.1. Séreignard.'!AR47</f>
        <v>0</v>
      </c>
      <c r="AS61" s="178"/>
      <c r="AT61" s="178">
        <f>+'5.1. Séreignard.'!AT45+'5.1. Séreignard.'!AT49-'5.1. Séreignard.'!AT47</f>
        <v>251740</v>
      </c>
      <c r="AU61" s="178"/>
      <c r="AV61" s="21"/>
    </row>
    <row r="62" spans="1:48" ht="12.75" customHeight="1">
      <c r="A62" s="174" t="s">
        <v>235</v>
      </c>
      <c r="B62" s="359"/>
      <c r="C62" s="140">
        <f>+'5.1. Séreignard.'!C62</f>
        <v>3966517</v>
      </c>
      <c r="D62" s="140">
        <f>+'5.1. Séreignard.'!D62</f>
        <v>1263047</v>
      </c>
      <c r="E62" s="140">
        <f>+'5.1. Séreignard.'!E62</f>
        <v>444856</v>
      </c>
      <c r="F62" s="140">
        <f>+'5.1. Séreignard.'!F62</f>
        <v>5578830</v>
      </c>
      <c r="G62" s="140">
        <f>+'5.1. Séreignard.'!G62</f>
        <v>793504</v>
      </c>
      <c r="H62" s="140">
        <f>+'5.1. Séreignard.'!H62</f>
        <v>1171141</v>
      </c>
      <c r="I62" s="140">
        <f>+'5.1. Séreignard.'!I62</f>
        <v>21678</v>
      </c>
      <c r="J62" s="140">
        <f>+'5.1. Séreignard.'!J62</f>
        <v>67396</v>
      </c>
      <c r="K62" s="140">
        <f>+'5.1. Séreignard.'!K62</f>
        <v>150000</v>
      </c>
      <c r="L62" s="140">
        <f>+'5.1. Séreignard.'!L62</f>
        <v>74966</v>
      </c>
      <c r="M62" s="140">
        <f>+'5.1. Séreignard.'!M62</f>
        <v>4994</v>
      </c>
      <c r="N62" s="140">
        <f>+'5.1. Séreignard.'!N62</f>
        <v>342235</v>
      </c>
      <c r="O62" s="140">
        <f>+'5.1. Séreignard.'!O62</f>
        <v>2175833</v>
      </c>
      <c r="P62" s="140">
        <f>+'5.1. Séreignard.'!P62</f>
        <v>11032442</v>
      </c>
      <c r="Q62" s="140">
        <f>+'5.1. Séreignard.'!Q62</f>
        <v>31514858</v>
      </c>
      <c r="R62" s="140">
        <f>+'5.1. Séreignard.'!R62</f>
        <v>3069417</v>
      </c>
      <c r="S62" s="140">
        <f>+'5.1. Séreignard.'!S62</f>
        <v>1392256</v>
      </c>
      <c r="T62" s="140">
        <f>+'5.1. Séreignard.'!T62</f>
        <v>509629</v>
      </c>
      <c r="U62" s="140">
        <f>+'5.1. Séreignard.'!U62</f>
        <v>1653374</v>
      </c>
      <c r="V62" s="140">
        <f>+'5.1. Séreignard.'!V62</f>
        <v>9396</v>
      </c>
      <c r="W62" s="140">
        <f>+'5.1. Séreignard.'!W62</f>
        <v>748167</v>
      </c>
      <c r="X62" s="140">
        <f>+'5.1. Séreignard.'!X62</f>
        <v>199846</v>
      </c>
      <c r="Y62" s="140">
        <f>+'5.1. Séreignard.'!Y62</f>
        <v>141635</v>
      </c>
      <c r="Z62" s="140">
        <f>+'5.1. Séreignard.'!Z62</f>
        <v>2085619</v>
      </c>
      <c r="AA62" s="140">
        <f>+'5.1. Séreignard.'!AA62</f>
        <v>40932807</v>
      </c>
      <c r="AB62" s="140">
        <f>+'5.1. Séreignard.'!AB62</f>
        <v>2763582</v>
      </c>
      <c r="AC62" s="140">
        <f>+'5.1. Séreignard.'!AC62</f>
        <v>4425902</v>
      </c>
      <c r="AD62" s="140">
        <f>+'5.1. Séreignard.'!AD62</f>
        <v>330288</v>
      </c>
      <c r="AE62" s="140">
        <f>+'5.1. Séreignard.'!AE62</f>
        <v>101640</v>
      </c>
      <c r="AF62" s="140">
        <f>+'5.1. Séreignard.'!AF62</f>
        <v>1400355</v>
      </c>
      <c r="AG62" s="140">
        <f>+'5.1. Séreignard.'!AG62</f>
        <v>37620</v>
      </c>
      <c r="AH62" s="140">
        <f>+'5.1. Séreignard.'!AH62</f>
        <v>8311010</v>
      </c>
      <c r="AI62" s="140">
        <f>+'5.1. Séreignard.'!AI62</f>
        <v>5543342</v>
      </c>
      <c r="AJ62" s="140">
        <f>+'5.1. Séreignard.'!AJ62</f>
        <v>3927067</v>
      </c>
      <c r="AK62" s="140">
        <f>+'5.1. Séreignard.'!AK62</f>
        <v>2279763</v>
      </c>
      <c r="AL62" s="140">
        <f>+'5.1. Séreignard.'!AL62</f>
        <v>588917</v>
      </c>
      <c r="AM62" s="140">
        <f>+'5.1. Séreignard.'!AM62</f>
        <v>88332</v>
      </c>
      <c r="AN62" s="140">
        <f>+'5.1. Séreignard.'!AN62</f>
        <v>49832</v>
      </c>
      <c r="AO62" s="140">
        <f>+'5.1. Séreignard.'!AO62</f>
        <v>323145</v>
      </c>
      <c r="AP62" s="140">
        <f>+'5.1. Séreignard.'!AP62</f>
        <v>38958</v>
      </c>
      <c r="AQ62" s="140">
        <f>+'5.1. Séreignard.'!AQ62</f>
        <v>123180</v>
      </c>
      <c r="AR62" s="140">
        <f>+'5.1. Séreignard.'!AR62</f>
        <v>2219059</v>
      </c>
      <c r="AS62" s="140"/>
      <c r="AT62" s="140">
        <f>+'5.1. Séreignard.'!AT62</f>
        <v>141896435</v>
      </c>
      <c r="AU62" s="140"/>
      <c r="AV62" s="21"/>
    </row>
    <row r="63" spans="1:48" ht="12.75" customHeight="1">
      <c r="A63" s="174" t="s">
        <v>234</v>
      </c>
      <c r="B63" s="359"/>
      <c r="C63" s="140">
        <f>+'5.1. Séreignard.'!C65</f>
        <v>4478071</v>
      </c>
      <c r="D63" s="140">
        <f>+'5.1. Séreignard.'!D65</f>
        <v>1559057</v>
      </c>
      <c r="E63" s="140">
        <f>+'5.1. Séreignard.'!E65</f>
        <v>543171</v>
      </c>
      <c r="F63" s="140">
        <f>+'5.1. Séreignard.'!F65</f>
        <v>6459948</v>
      </c>
      <c r="G63" s="140">
        <f>+'5.1. Séreignard.'!G65</f>
        <v>906845</v>
      </c>
      <c r="H63" s="140">
        <f>+'5.1. Séreignard.'!H65</f>
        <v>1311281</v>
      </c>
      <c r="I63" s="140">
        <f>+'5.1. Séreignard.'!I65</f>
        <v>21944</v>
      </c>
      <c r="J63" s="140">
        <f>+'5.1. Séreignard.'!J65</f>
        <v>80948</v>
      </c>
      <c r="K63" s="140">
        <f>+'5.1. Séreignard.'!K65</f>
        <v>216698</v>
      </c>
      <c r="L63" s="140">
        <f>+'5.1. Séreignard.'!L65</f>
        <v>91517</v>
      </c>
      <c r="M63" s="140">
        <f>+'5.1. Séreignard.'!M65</f>
        <v>4937</v>
      </c>
      <c r="N63" s="140">
        <f>+'5.1. Séreignard.'!N65</f>
        <v>363750</v>
      </c>
      <c r="O63" s="140">
        <f>+'5.1. Séreignard.'!O65</f>
        <v>2463924</v>
      </c>
      <c r="P63" s="140">
        <f>+'5.1. Séreignard.'!P65</f>
        <v>12837425</v>
      </c>
      <c r="Q63" s="140">
        <f>+'5.1. Séreignard.'!Q65</f>
        <v>34114129</v>
      </c>
      <c r="R63" s="140">
        <f>+'5.1. Séreignard.'!R65</f>
        <v>3678523</v>
      </c>
      <c r="S63" s="140">
        <f>+'5.1. Séreignard.'!S65</f>
        <v>2142622</v>
      </c>
      <c r="T63" s="140">
        <f>+'5.1. Séreignard.'!T65</f>
        <v>642955</v>
      </c>
      <c r="U63" s="140">
        <f>+'5.1. Séreignard.'!U65</f>
        <v>1962633</v>
      </c>
      <c r="V63" s="140">
        <f>+'5.1. Séreignard.'!V65</f>
        <v>13584</v>
      </c>
      <c r="W63" s="140">
        <f>+'5.1. Séreignard.'!W65</f>
        <v>940892</v>
      </c>
      <c r="X63" s="140">
        <f>+'5.1. Séreignard.'!X65</f>
        <v>217384</v>
      </c>
      <c r="Y63" s="140">
        <f>+'5.1. Séreignard.'!Y65</f>
        <v>156857</v>
      </c>
      <c r="Z63" s="140">
        <f>+'5.1. Séreignard.'!Z65</f>
        <v>2158599</v>
      </c>
      <c r="AA63" s="140">
        <f>+'5.1. Séreignard.'!AA65</f>
        <v>45518639</v>
      </c>
      <c r="AB63" s="140">
        <f>+'5.1. Séreignard.'!AB65</f>
        <v>3090467</v>
      </c>
      <c r="AC63" s="140">
        <f>+'5.1. Séreignard.'!AC65</f>
        <v>4778288</v>
      </c>
      <c r="AD63" s="140">
        <f>+'5.1. Séreignard.'!AD65</f>
        <v>384381</v>
      </c>
      <c r="AE63" s="140">
        <f>+'5.1. Séreignard.'!AE65</f>
        <v>130634</v>
      </c>
      <c r="AF63" s="140">
        <f>+'5.1. Séreignard.'!AF65</f>
        <v>1949593</v>
      </c>
      <c r="AG63" s="140">
        <f>+'5.1. Séreignard.'!AG65</f>
        <v>99507</v>
      </c>
      <c r="AH63" s="140">
        <f>+'5.1. Séreignard.'!AH65</f>
        <v>11664800</v>
      </c>
      <c r="AI63" s="140">
        <f>+'5.1. Séreignard.'!AI65</f>
        <v>7488082</v>
      </c>
      <c r="AJ63" s="140">
        <f>+'5.1. Séreignard.'!AJ65</f>
        <v>5197014</v>
      </c>
      <c r="AK63" s="140">
        <f>+'5.1. Séreignard.'!AK65</f>
        <v>2973377</v>
      </c>
      <c r="AL63" s="140">
        <f>+'5.1. Séreignard.'!AL65</f>
        <v>675297</v>
      </c>
      <c r="AM63" s="140">
        <f>+'5.1. Séreignard.'!AM65</f>
        <v>105681</v>
      </c>
      <c r="AN63" s="140">
        <f>+'5.1. Séreignard.'!AN65</f>
        <v>53452</v>
      </c>
      <c r="AO63" s="140">
        <f>+'5.1. Séreignard.'!AO65</f>
        <v>364924</v>
      </c>
      <c r="AP63" s="140">
        <f>+'5.1. Séreignard.'!AP65</f>
        <v>40717</v>
      </c>
      <c r="AQ63" s="140">
        <f>+'5.1. Séreignard.'!AQ65</f>
        <v>138790</v>
      </c>
      <c r="AR63" s="140">
        <f>+'5.1. Séreignard.'!AR65</f>
        <v>2482829</v>
      </c>
      <c r="AS63" s="140"/>
      <c r="AT63" s="140">
        <f>+'5.1. Séreignard.'!AT65</f>
        <v>164504166</v>
      </c>
      <c r="AU63" s="140"/>
      <c r="AV63" s="21"/>
    </row>
    <row r="64" spans="1:48" ht="12.75" customHeight="1">
      <c r="A64" s="164"/>
      <c r="B64" s="35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21"/>
    </row>
    <row r="65" spans="1:48" ht="12.75" customHeight="1">
      <c r="A65" s="174" t="s">
        <v>209</v>
      </c>
      <c r="B65" s="359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21"/>
    </row>
    <row r="66" spans="1:48" ht="12.75" customHeight="1">
      <c r="A66" s="174" t="s">
        <v>210</v>
      </c>
      <c r="B66" s="359"/>
      <c r="C66" s="404">
        <f>+(C62+C63-(C60-C61))</f>
        <v>8270315</v>
      </c>
      <c r="D66" s="404">
        <f aca="true" t="shared" si="5" ref="D66:AR66">+(D62+D63-(D60-D61))</f>
        <v>2743625</v>
      </c>
      <c r="E66" s="404">
        <f t="shared" si="5"/>
        <v>930301</v>
      </c>
      <c r="F66" s="404">
        <f t="shared" si="5"/>
        <v>11630662</v>
      </c>
      <c r="G66" s="404">
        <f t="shared" si="5"/>
        <v>1672862</v>
      </c>
      <c r="H66" s="404">
        <f t="shared" si="5"/>
        <v>2418095</v>
      </c>
      <c r="I66" s="404">
        <f t="shared" si="5"/>
        <v>41340</v>
      </c>
      <c r="J66" s="404">
        <f t="shared" si="5"/>
        <v>147080</v>
      </c>
      <c r="K66" s="404">
        <f t="shared" si="5"/>
        <v>354172</v>
      </c>
      <c r="L66" s="404">
        <f t="shared" si="5"/>
        <v>158704</v>
      </c>
      <c r="M66" s="404">
        <f t="shared" si="5"/>
        <v>9371</v>
      </c>
      <c r="N66" s="404">
        <f t="shared" si="5"/>
        <v>684332</v>
      </c>
      <c r="O66" s="404">
        <f t="shared" si="5"/>
        <v>4379527</v>
      </c>
      <c r="P66" s="404">
        <f t="shared" si="5"/>
        <v>23741847</v>
      </c>
      <c r="Q66" s="404">
        <f t="shared" si="5"/>
        <v>65094458</v>
      </c>
      <c r="R66" s="404">
        <f t="shared" si="5"/>
        <v>6574947</v>
      </c>
      <c r="S66" s="404">
        <f t="shared" si="5"/>
        <v>3332538</v>
      </c>
      <c r="T66" s="404">
        <f>+(T62+T63-(T60-T61))</f>
        <v>1088551</v>
      </c>
      <c r="U66" s="404">
        <f>+(U62+U63-(U60-U61))</f>
        <v>3416659</v>
      </c>
      <c r="V66" s="404">
        <f t="shared" si="5"/>
        <v>21689</v>
      </c>
      <c r="W66" s="404">
        <f t="shared" si="5"/>
        <v>1596331</v>
      </c>
      <c r="X66" s="404">
        <f t="shared" si="5"/>
        <v>403143</v>
      </c>
      <c r="Y66" s="404">
        <f t="shared" si="5"/>
        <v>296077</v>
      </c>
      <c r="Z66" s="404">
        <f t="shared" si="5"/>
        <v>4121156</v>
      </c>
      <c r="AA66" s="404">
        <f t="shared" si="5"/>
        <v>85638209</v>
      </c>
      <c r="AB66" s="404">
        <f t="shared" si="5"/>
        <v>5717192</v>
      </c>
      <c r="AC66" s="404">
        <f t="shared" si="5"/>
        <v>8720464</v>
      </c>
      <c r="AD66" s="404">
        <f t="shared" si="5"/>
        <v>700600</v>
      </c>
      <c r="AE66" s="404">
        <f t="shared" si="5"/>
        <v>226474</v>
      </c>
      <c r="AF66" s="404">
        <f t="shared" si="5"/>
        <v>3210444</v>
      </c>
      <c r="AG66" s="404">
        <f t="shared" si="5"/>
        <v>133837</v>
      </c>
      <c r="AH66" s="404">
        <f>+(AH62+AH63-(AH60-AH61))</f>
        <v>19283660</v>
      </c>
      <c r="AI66" s="404">
        <f>+(AI62+AI63-(AI60-AI61))</f>
        <v>12573197</v>
      </c>
      <c r="AJ66" s="404">
        <f>+(AJ62+AJ63-(AJ60-AJ61))</f>
        <v>8730466</v>
      </c>
      <c r="AK66" s="404">
        <f>+(AK62+AK63-(AK60-AK61))</f>
        <v>4946020</v>
      </c>
      <c r="AL66" s="404">
        <f t="shared" si="5"/>
        <v>1251407</v>
      </c>
      <c r="AM66" s="404">
        <f t="shared" si="5"/>
        <v>190076</v>
      </c>
      <c r="AN66" s="404">
        <f t="shared" si="5"/>
        <v>97398</v>
      </c>
      <c r="AO66" s="404">
        <f>+(AO62+AO63-(AO60-AO61))</f>
        <v>658692</v>
      </c>
      <c r="AP66" s="404">
        <f t="shared" si="5"/>
        <v>81207</v>
      </c>
      <c r="AQ66" s="404">
        <f t="shared" si="5"/>
        <v>262823</v>
      </c>
      <c r="AR66" s="404">
        <f t="shared" si="5"/>
        <v>4541715</v>
      </c>
      <c r="AS66" s="404"/>
      <c r="AT66" s="404">
        <f>+(AT62+AT63-(AT60-AT61))</f>
        <v>300091663</v>
      </c>
      <c r="AU66" s="404"/>
      <c r="AV66" s="21"/>
    </row>
    <row r="67" spans="1:48" ht="12.75" customHeight="1">
      <c r="A67" s="174" t="s">
        <v>211</v>
      </c>
      <c r="B67" s="359"/>
      <c r="C67" s="405">
        <f aca="true" t="shared" si="6" ref="C67:AR67">+(2*(C60-C61))/C66</f>
        <v>0.04214422304349955</v>
      </c>
      <c r="D67" s="405">
        <f t="shared" si="6"/>
        <v>0.05720825550138958</v>
      </c>
      <c r="E67" s="405">
        <f t="shared" si="6"/>
        <v>0.12410176921233021</v>
      </c>
      <c r="F67" s="405">
        <f t="shared" si="6"/>
        <v>0.07017932427234151</v>
      </c>
      <c r="G67" s="405">
        <f t="shared" si="6"/>
        <v>0.032862244464875165</v>
      </c>
      <c r="H67" s="405">
        <f t="shared" si="6"/>
        <v>0.053204692123345027</v>
      </c>
      <c r="I67" s="405">
        <f t="shared" si="6"/>
        <v>0.11040154813739719</v>
      </c>
      <c r="J67" s="405">
        <f t="shared" si="6"/>
        <v>0.017187924938808812</v>
      </c>
      <c r="K67" s="405">
        <f t="shared" si="6"/>
        <v>0.07073399365280146</v>
      </c>
      <c r="L67" s="405">
        <f t="shared" si="6"/>
        <v>0.09803155560036295</v>
      </c>
      <c r="M67" s="405">
        <f t="shared" si="6"/>
        <v>0.11951766086863728</v>
      </c>
      <c r="N67" s="405">
        <f t="shared" si="6"/>
        <v>0.0632821495999018</v>
      </c>
      <c r="O67" s="405">
        <f t="shared" si="6"/>
        <v>0.11883931757927282</v>
      </c>
      <c r="P67" s="405">
        <f t="shared" si="6"/>
        <v>0.01078433367041747</v>
      </c>
      <c r="Q67" s="405">
        <f t="shared" si="6"/>
        <v>0.016423179988686594</v>
      </c>
      <c r="R67" s="405">
        <f t="shared" si="6"/>
        <v>0.052621869043202936</v>
      </c>
      <c r="S67" s="405">
        <f t="shared" si="6"/>
        <v>0.12143297390757435</v>
      </c>
      <c r="T67" s="405">
        <f>+(2*(T60-T61))/T66</f>
        <v>0.11764813959107107</v>
      </c>
      <c r="U67" s="405">
        <f>+(2*(U60-U61))/U66</f>
        <v>0.11669177404007833</v>
      </c>
      <c r="V67" s="405">
        <f t="shared" si="6"/>
        <v>0.11904652127806722</v>
      </c>
      <c r="W67" s="405">
        <f t="shared" si="6"/>
        <v>0.11617640702335544</v>
      </c>
      <c r="X67" s="405">
        <f t="shared" si="6"/>
        <v>0.06988587176262517</v>
      </c>
      <c r="Y67" s="405">
        <f t="shared" si="6"/>
        <v>0.016313323898850637</v>
      </c>
      <c r="Z67" s="405">
        <f t="shared" si="6"/>
        <v>0.059722077980061905</v>
      </c>
      <c r="AA67" s="405">
        <f t="shared" si="6"/>
        <v>0.018992386914583888</v>
      </c>
      <c r="AB67" s="405">
        <f t="shared" si="6"/>
        <v>0.04787560046960116</v>
      </c>
      <c r="AC67" s="405">
        <f t="shared" si="6"/>
        <v>0.11094042702314923</v>
      </c>
      <c r="AD67" s="405">
        <f t="shared" si="6"/>
        <v>0.04016271767056809</v>
      </c>
      <c r="AE67" s="405">
        <f t="shared" si="6"/>
        <v>0.05122000759469078</v>
      </c>
      <c r="AF67" s="405">
        <f t="shared" si="6"/>
        <v>0.08690635936960744</v>
      </c>
      <c r="AG67" s="405">
        <f t="shared" si="6"/>
        <v>0.049164281925028204</v>
      </c>
      <c r="AH67" s="405">
        <f>+(2*(AH60-AH61))/AH66</f>
        <v>0.07178616507447237</v>
      </c>
      <c r="AI67" s="405">
        <f>+(2*(AI60-AI61))/AI66</f>
        <v>0.0728894966013815</v>
      </c>
      <c r="AJ67" s="405">
        <f>+(2*(AJ60-AJ61))/AJ66</f>
        <v>0.09017044451006395</v>
      </c>
      <c r="AK67" s="405">
        <f>+(2*(AK60-AK61))/AK66</f>
        <v>0.12418874165490637</v>
      </c>
      <c r="AL67" s="405">
        <f t="shared" si="6"/>
        <v>0.0204681610379357</v>
      </c>
      <c r="AM67" s="405">
        <f t="shared" si="6"/>
        <v>0.04142553504913824</v>
      </c>
      <c r="AN67" s="405">
        <f t="shared" si="6"/>
        <v>0.12086490482350767</v>
      </c>
      <c r="AO67" s="405">
        <f>+(2*(AO60-AO61))/AO66</f>
        <v>0.08919798631226734</v>
      </c>
      <c r="AP67" s="405">
        <f t="shared" si="6"/>
        <v>-0.03773073749799894</v>
      </c>
      <c r="AQ67" s="405">
        <f t="shared" si="6"/>
        <v>-0.0064910605236223615</v>
      </c>
      <c r="AR67" s="405">
        <f t="shared" si="6"/>
        <v>0.07053414844392482</v>
      </c>
      <c r="AS67" s="405"/>
      <c r="AT67" s="405">
        <f>+(2*(AT60-AT61))/AT66</f>
        <v>0.04204673956570396</v>
      </c>
      <c r="AU67" s="405"/>
      <c r="AV67" s="21"/>
    </row>
    <row r="68" spans="1:48" ht="12.75" customHeight="1">
      <c r="A68" s="223" t="s">
        <v>595</v>
      </c>
      <c r="B68" s="370"/>
      <c r="C68" s="273">
        <v>0.0586</v>
      </c>
      <c r="D68" s="273">
        <v>0.0586</v>
      </c>
      <c r="E68" s="273">
        <v>0.0586</v>
      </c>
      <c r="F68" s="273">
        <v>0.0586</v>
      </c>
      <c r="G68" s="273">
        <v>0.0586</v>
      </c>
      <c r="H68" s="273">
        <v>0.0586</v>
      </c>
      <c r="I68" s="273">
        <v>0.0586</v>
      </c>
      <c r="J68" s="273">
        <v>0.0586</v>
      </c>
      <c r="K68" s="273">
        <v>0.0586</v>
      </c>
      <c r="L68" s="273">
        <v>0.0586</v>
      </c>
      <c r="M68" s="273">
        <v>0.0586</v>
      </c>
      <c r="N68" s="273">
        <v>0.0586</v>
      </c>
      <c r="O68" s="273">
        <v>0.0586</v>
      </c>
      <c r="P68" s="273">
        <v>0.0586</v>
      </c>
      <c r="Q68" s="273">
        <v>0.0586</v>
      </c>
      <c r="R68" s="273">
        <v>0.0586</v>
      </c>
      <c r="S68" s="273">
        <v>0.0586</v>
      </c>
      <c r="T68" s="273">
        <v>0.0586</v>
      </c>
      <c r="U68" s="273">
        <v>0.0586</v>
      </c>
      <c r="V68" s="273">
        <v>0.0586</v>
      </c>
      <c r="W68" s="273">
        <v>0.0586</v>
      </c>
      <c r="X68" s="273">
        <v>0.0586</v>
      </c>
      <c r="Y68" s="273">
        <v>0.0586</v>
      </c>
      <c r="Z68" s="273">
        <v>0.0586</v>
      </c>
      <c r="AA68" s="273">
        <v>0.0586</v>
      </c>
      <c r="AB68" s="273">
        <v>0.0586</v>
      </c>
      <c r="AC68" s="273">
        <v>0.0586</v>
      </c>
      <c r="AD68" s="273">
        <v>0.0586</v>
      </c>
      <c r="AE68" s="273">
        <v>0.0586</v>
      </c>
      <c r="AF68" s="273">
        <v>0.0586</v>
      </c>
      <c r="AG68" s="273">
        <v>0.0586</v>
      </c>
      <c r="AH68" s="273">
        <v>0.0586</v>
      </c>
      <c r="AI68" s="273">
        <v>0.0586</v>
      </c>
      <c r="AJ68" s="273">
        <v>0.0586</v>
      </c>
      <c r="AK68" s="273">
        <v>0.0586</v>
      </c>
      <c r="AL68" s="273">
        <v>0.0586</v>
      </c>
      <c r="AM68" s="273">
        <v>0.0586</v>
      </c>
      <c r="AN68" s="273">
        <v>0.0586</v>
      </c>
      <c r="AO68" s="273">
        <v>0.0586</v>
      </c>
      <c r="AP68" s="273">
        <v>0.0586</v>
      </c>
      <c r="AQ68" s="273">
        <v>0.0586</v>
      </c>
      <c r="AR68" s="273">
        <v>0.0586</v>
      </c>
      <c r="AS68" s="273"/>
      <c r="AT68" s="273">
        <v>0.0586</v>
      </c>
      <c r="AU68" s="273"/>
      <c r="AV68" s="21"/>
    </row>
    <row r="69" spans="1:48" ht="12.75" customHeight="1">
      <c r="A69" s="178"/>
      <c r="B69" s="359"/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  <c r="AJ69" s="404"/>
      <c r="AK69" s="404"/>
      <c r="AL69" s="404"/>
      <c r="AM69" s="404"/>
      <c r="AN69" s="404"/>
      <c r="AO69" s="404"/>
      <c r="AP69" s="404"/>
      <c r="AQ69" s="404"/>
      <c r="AR69" s="404"/>
      <c r="AS69" s="404"/>
      <c r="AT69" s="404"/>
      <c r="AU69" s="404"/>
      <c r="AV69" s="21"/>
    </row>
    <row r="70" spans="1:48" s="53" customFormat="1" ht="12.75" customHeight="1">
      <c r="A70" s="223" t="s">
        <v>212</v>
      </c>
      <c r="B70" s="360"/>
      <c r="C70" s="406">
        <f>+((1+C67)/(1+C68)-1)*100</f>
        <v>-1.5544848815889245</v>
      </c>
      <c r="D70" s="406">
        <f aca="true" t="shared" si="7" ref="D70:AR70">+((1+D67)/(1+D68)-1)*100</f>
        <v>-0.13147029081904682</v>
      </c>
      <c r="E70" s="406">
        <f t="shared" si="7"/>
        <v>6.187584471219565</v>
      </c>
      <c r="F70" s="406">
        <f t="shared" si="7"/>
        <v>1.0938337684055721</v>
      </c>
      <c r="G70" s="406">
        <f t="shared" si="7"/>
        <v>-2.4313012974801484</v>
      </c>
      <c r="H70" s="406">
        <f t="shared" si="7"/>
        <v>-0.5096644508459147</v>
      </c>
      <c r="I70" s="406">
        <f t="shared" si="7"/>
        <v>4.893401486623583</v>
      </c>
      <c r="J70" s="406">
        <f t="shared" si="7"/>
        <v>-3.9119662819942613</v>
      </c>
      <c r="K70" s="406">
        <f t="shared" si="7"/>
        <v>1.1462302713774353</v>
      </c>
      <c r="L70" s="406">
        <f t="shared" si="7"/>
        <v>3.7248777253318544</v>
      </c>
      <c r="M70" s="406">
        <f t="shared" si="7"/>
        <v>5.754549486929639</v>
      </c>
      <c r="N70" s="406">
        <f t="shared" si="7"/>
        <v>0.44229639145114685</v>
      </c>
      <c r="O70" s="406">
        <f t="shared" si="7"/>
        <v>5.690470203974374</v>
      </c>
      <c r="P70" s="406">
        <f t="shared" si="7"/>
        <v>-4.516877605288361</v>
      </c>
      <c r="Q70" s="406">
        <f t="shared" si="7"/>
        <v>-3.9842074448623976</v>
      </c>
      <c r="R70" s="406">
        <f t="shared" si="7"/>
        <v>-0.5647204757979418</v>
      </c>
      <c r="S70" s="406">
        <f t="shared" si="7"/>
        <v>5.935478358924473</v>
      </c>
      <c r="T70" s="406">
        <f>+((1+T67)/(1+T68)-1)*100</f>
        <v>5.577946305599002</v>
      </c>
      <c r="U70" s="406">
        <f>+((1+U67)/(1+U68)-1)*100</f>
        <v>5.487603820147213</v>
      </c>
      <c r="V70" s="406">
        <f t="shared" si="7"/>
        <v>5.71004357434981</v>
      </c>
      <c r="W70" s="406">
        <f t="shared" si="7"/>
        <v>5.438919990870539</v>
      </c>
      <c r="X70" s="406">
        <f t="shared" si="7"/>
        <v>1.0661129569832895</v>
      </c>
      <c r="Y70" s="406">
        <f t="shared" si="7"/>
        <v>-3.9945849330388583</v>
      </c>
      <c r="Z70" s="406">
        <f t="shared" si="7"/>
        <v>0.10599640846984393</v>
      </c>
      <c r="AA70" s="406">
        <f t="shared" si="7"/>
        <v>-3.7415088877211566</v>
      </c>
      <c r="AB70" s="406">
        <f t="shared" si="7"/>
        <v>-1.0130738267899786</v>
      </c>
      <c r="AC70" s="406">
        <f t="shared" si="7"/>
        <v>4.9443063501935836</v>
      </c>
      <c r="AD70" s="406">
        <f t="shared" si="7"/>
        <v>-1.7416665718337332</v>
      </c>
      <c r="AE70" s="406">
        <f t="shared" si="7"/>
        <v>-0.6971464580870279</v>
      </c>
      <c r="AF70" s="406">
        <f t="shared" si="7"/>
        <v>2.673942883960634</v>
      </c>
      <c r="AG70" s="406">
        <f t="shared" si="7"/>
        <v>-0.8913393231600009</v>
      </c>
      <c r="AH70" s="406">
        <f>+((1+AH67)/(1+AH68)-1)*100</f>
        <v>1.2456229996667734</v>
      </c>
      <c r="AI70" s="406">
        <f>+((1+AI67)/(1+AI68)-1)*100</f>
        <v>1.3498485359325185</v>
      </c>
      <c r="AJ70" s="406">
        <f>+((1+AJ67)/(1+AJ68)-1)*100</f>
        <v>2.982282685628568</v>
      </c>
      <c r="AK70" s="406">
        <f>+((1+AK67)/(1+AK68)-1)*100</f>
        <v>6.19580026968698</v>
      </c>
      <c r="AL70" s="406">
        <f t="shared" si="7"/>
        <v>-3.602100789917262</v>
      </c>
      <c r="AM70" s="406">
        <f t="shared" si="7"/>
        <v>-1.6223753023674514</v>
      </c>
      <c r="AN70" s="406">
        <f t="shared" si="7"/>
        <v>5.881816061166423</v>
      </c>
      <c r="AO70" s="406">
        <f>+((1+AO67)/(1+AO68)-1)*100</f>
        <v>2.8904200181624207</v>
      </c>
      <c r="AP70" s="406">
        <f t="shared" si="7"/>
        <v>-9.099824059890317</v>
      </c>
      <c r="AQ70" s="406">
        <f t="shared" si="7"/>
        <v>-6.148787126735533</v>
      </c>
      <c r="AR70" s="406">
        <f t="shared" si="7"/>
        <v>1.127352016240768</v>
      </c>
      <c r="AS70" s="406"/>
      <c r="AT70" s="406">
        <f>+((1+AT67)/(1+AT68)-1)*100</f>
        <v>-1.5636935985543166</v>
      </c>
      <c r="AU70" s="406"/>
      <c r="AV70" s="19"/>
    </row>
    <row r="71" spans="1:48" s="53" customFormat="1" ht="12.75" customHeight="1">
      <c r="A71" s="286"/>
      <c r="B71" s="407"/>
      <c r="C71" s="408">
        <f>+C7</f>
        <v>-1.6</v>
      </c>
      <c r="D71" s="408">
        <f aca="true" t="shared" si="8" ref="D71:AR71">+D7</f>
        <v>0.2</v>
      </c>
      <c r="E71" s="408">
        <f t="shared" si="8"/>
        <v>6.4</v>
      </c>
      <c r="F71" s="408">
        <f>+F7</f>
        <v>1.0938337684055721</v>
      </c>
      <c r="G71" s="408">
        <f t="shared" si="8"/>
        <v>-2.4313012974801484</v>
      </c>
      <c r="H71" s="408">
        <f t="shared" si="8"/>
        <v>-0.5096644508459147</v>
      </c>
      <c r="I71" s="408">
        <f t="shared" si="8"/>
        <v>4.893401486623583</v>
      </c>
      <c r="J71" s="408">
        <f t="shared" si="8"/>
        <v>-1.9</v>
      </c>
      <c r="K71" s="408">
        <f t="shared" si="8"/>
        <v>1.5</v>
      </c>
      <c r="L71" s="408">
        <f t="shared" si="8"/>
        <v>3.3</v>
      </c>
      <c r="M71" s="408">
        <f t="shared" si="8"/>
        <v>5.7</v>
      </c>
      <c r="N71" s="408">
        <f t="shared" si="8"/>
        <v>0.1</v>
      </c>
      <c r="O71" s="408">
        <f t="shared" si="8"/>
        <v>5.4</v>
      </c>
      <c r="P71" s="408">
        <f t="shared" si="8"/>
        <v>-4.2</v>
      </c>
      <c r="Q71" s="408">
        <f t="shared" si="8"/>
        <v>-4</v>
      </c>
      <c r="R71" s="408">
        <f t="shared" si="8"/>
        <v>0.2</v>
      </c>
      <c r="S71" s="408">
        <f t="shared" si="8"/>
        <v>6.5</v>
      </c>
      <c r="T71" s="408">
        <f>+T7</f>
        <v>5.577946305599002</v>
      </c>
      <c r="U71" s="408">
        <f>+U7</f>
        <v>5.487603820147213</v>
      </c>
      <c r="V71" s="408">
        <f t="shared" si="8"/>
        <v>6.4</v>
      </c>
      <c r="W71" s="408">
        <f t="shared" si="8"/>
        <v>5.5</v>
      </c>
      <c r="X71" s="408">
        <f t="shared" si="8"/>
        <v>1.2</v>
      </c>
      <c r="Y71" s="408">
        <f t="shared" si="8"/>
        <v>-3.4</v>
      </c>
      <c r="Z71" s="408">
        <f t="shared" si="8"/>
        <v>0.9</v>
      </c>
      <c r="AA71" s="408">
        <f t="shared" si="8"/>
        <v>-3.6</v>
      </c>
      <c r="AB71" s="408">
        <f t="shared" si="8"/>
        <v>-0.9</v>
      </c>
      <c r="AC71" s="408">
        <f t="shared" si="8"/>
        <v>5.5</v>
      </c>
      <c r="AD71" s="408">
        <f t="shared" si="8"/>
        <v>-1.7416665718337332</v>
      </c>
      <c r="AE71" s="408">
        <f t="shared" si="8"/>
        <v>-0.3</v>
      </c>
      <c r="AF71" s="408">
        <f t="shared" si="8"/>
        <v>2.673942883960634</v>
      </c>
      <c r="AG71" s="408">
        <f t="shared" si="8"/>
        <v>-0.8913393231600009</v>
      </c>
      <c r="AH71" s="408">
        <f>+AH7</f>
        <v>2.1</v>
      </c>
      <c r="AI71" s="408">
        <f>+AI7</f>
        <v>2</v>
      </c>
      <c r="AJ71" s="408">
        <f>+AJ7</f>
        <v>3.3</v>
      </c>
      <c r="AK71" s="408">
        <f>+AK7</f>
        <v>7.8</v>
      </c>
      <c r="AL71" s="408">
        <f t="shared" si="8"/>
        <v>-3.602100789917262</v>
      </c>
      <c r="AM71" s="408">
        <f t="shared" si="8"/>
        <v>-1.6223753023674514</v>
      </c>
      <c r="AN71" s="408">
        <f t="shared" si="8"/>
        <v>5.881816061166423</v>
      </c>
      <c r="AO71" s="408">
        <f>+AO7</f>
        <v>2.8904200181624207</v>
      </c>
      <c r="AP71" s="408">
        <f t="shared" si="8"/>
        <v>-9.099824059890317</v>
      </c>
      <c r="AQ71" s="408">
        <f t="shared" si="8"/>
        <v>-6.148787126735533</v>
      </c>
      <c r="AR71" s="408">
        <f t="shared" si="8"/>
        <v>1.127352016240768</v>
      </c>
      <c r="AS71" s="408"/>
      <c r="AT71" s="408"/>
      <c r="AU71" s="408"/>
      <c r="AV71" s="103"/>
    </row>
    <row r="72" spans="1:48" s="53" customFormat="1" ht="12.75" customHeight="1">
      <c r="A72" s="103"/>
      <c r="B72" s="104"/>
      <c r="C72" s="379">
        <f aca="true" t="shared" si="9" ref="C72:AR72">+C70-C71</f>
        <v>0.045515118411075584</v>
      </c>
      <c r="D72" s="379">
        <f t="shared" si="9"/>
        <v>-0.33147029081904683</v>
      </c>
      <c r="E72" s="379">
        <f t="shared" si="9"/>
        <v>-0.21241552878043546</v>
      </c>
      <c r="F72" s="379">
        <f>+F70-F71</f>
        <v>0</v>
      </c>
      <c r="G72" s="379">
        <f t="shared" si="9"/>
        <v>0</v>
      </c>
      <c r="H72" s="379">
        <f t="shared" si="9"/>
        <v>0</v>
      </c>
      <c r="I72" s="379">
        <f t="shared" si="9"/>
        <v>0</v>
      </c>
      <c r="J72" s="379">
        <f t="shared" si="9"/>
        <v>-2.0119662819942614</v>
      </c>
      <c r="K72" s="379">
        <f t="shared" si="9"/>
        <v>-0.3537697286225647</v>
      </c>
      <c r="L72" s="379">
        <f t="shared" si="9"/>
        <v>0.4248777253318545</v>
      </c>
      <c r="M72" s="379">
        <f t="shared" si="9"/>
        <v>0.05454948692963857</v>
      </c>
      <c r="N72" s="379">
        <f t="shared" si="9"/>
        <v>0.3422963914511469</v>
      </c>
      <c r="O72" s="379">
        <f t="shared" si="9"/>
        <v>0.2904702039743734</v>
      </c>
      <c r="P72" s="379">
        <f t="shared" si="9"/>
        <v>-0.3168776052883606</v>
      </c>
      <c r="Q72" s="379">
        <f t="shared" si="9"/>
        <v>0.01579255513760236</v>
      </c>
      <c r="R72" s="379">
        <f t="shared" si="9"/>
        <v>-0.7647204757979418</v>
      </c>
      <c r="S72" s="379">
        <f t="shared" si="9"/>
        <v>-0.5645216410755269</v>
      </c>
      <c r="T72" s="379">
        <f>+T70-T71</f>
        <v>0</v>
      </c>
      <c r="U72" s="379">
        <f>+U70-U71</f>
        <v>0</v>
      </c>
      <c r="V72" s="379">
        <f t="shared" si="9"/>
        <v>-0.6899564256501902</v>
      </c>
      <c r="W72" s="379">
        <f t="shared" si="9"/>
        <v>-0.06108000912946121</v>
      </c>
      <c r="X72" s="379">
        <f t="shared" si="9"/>
        <v>-0.1338870430167105</v>
      </c>
      <c r="Y72" s="379">
        <f t="shared" si="9"/>
        <v>-0.5945849330388584</v>
      </c>
      <c r="Z72" s="379">
        <f t="shared" si="9"/>
        <v>-0.7940035915301561</v>
      </c>
      <c r="AA72" s="379">
        <f t="shared" si="9"/>
        <v>-0.14150888772115655</v>
      </c>
      <c r="AB72" s="379">
        <f t="shared" si="9"/>
        <v>-0.11307382678997857</v>
      </c>
      <c r="AC72" s="379">
        <f t="shared" si="9"/>
        <v>-0.5556936498064164</v>
      </c>
      <c r="AD72" s="379">
        <f t="shared" si="9"/>
        <v>0</v>
      </c>
      <c r="AE72" s="379">
        <f t="shared" si="9"/>
        <v>-0.3971464580870279</v>
      </c>
      <c r="AF72" s="379">
        <f t="shared" si="9"/>
        <v>0</v>
      </c>
      <c r="AG72" s="379">
        <f t="shared" si="9"/>
        <v>0</v>
      </c>
      <c r="AH72" s="379">
        <f>+AH70-AH71</f>
        <v>-0.8543770003332267</v>
      </c>
      <c r="AI72" s="379">
        <f>+AI70-AI71</f>
        <v>-0.6501514640674815</v>
      </c>
      <c r="AJ72" s="379">
        <f>+AJ70-AJ71</f>
        <v>-0.317717314371432</v>
      </c>
      <c r="AK72" s="379">
        <f>+AK70-AK71</f>
        <v>-1.6041997303130202</v>
      </c>
      <c r="AL72" s="379">
        <f t="shared" si="9"/>
        <v>0</v>
      </c>
      <c r="AM72" s="379">
        <f t="shared" si="9"/>
        <v>0</v>
      </c>
      <c r="AN72" s="379">
        <f t="shared" si="9"/>
        <v>0</v>
      </c>
      <c r="AO72" s="379">
        <f>+AO70-AO71</f>
        <v>0</v>
      </c>
      <c r="AP72" s="379">
        <f t="shared" si="9"/>
        <v>0</v>
      </c>
      <c r="AQ72" s="379">
        <f t="shared" si="9"/>
        <v>0</v>
      </c>
      <c r="AR72" s="379">
        <f t="shared" si="9"/>
        <v>0</v>
      </c>
      <c r="AS72" s="105"/>
      <c r="AT72" s="105"/>
      <c r="AU72" s="105"/>
      <c r="AV72" s="105"/>
    </row>
    <row r="73" spans="1:48" ht="12.75" customHeight="1" thickBot="1">
      <c r="A73" s="292"/>
      <c r="B73" s="380"/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2"/>
      <c r="W73" s="382"/>
      <c r="X73" s="382"/>
      <c r="Y73" s="382"/>
      <c r="Z73" s="382"/>
      <c r="AA73" s="381"/>
      <c r="AB73" s="381"/>
      <c r="AC73" s="381"/>
      <c r="AD73" s="266"/>
      <c r="AE73" s="381"/>
      <c r="AF73" s="381"/>
      <c r="AG73" s="381"/>
      <c r="AH73" s="381"/>
      <c r="AI73" s="381"/>
      <c r="AJ73" s="381"/>
      <c r="AK73" s="381"/>
      <c r="AL73" s="381"/>
      <c r="AM73" s="381"/>
      <c r="AN73" s="381"/>
      <c r="AO73" s="381"/>
      <c r="AP73" s="381"/>
      <c r="AQ73" s="381"/>
      <c r="AR73" s="381"/>
      <c r="AS73" s="383"/>
      <c r="AT73" s="382"/>
      <c r="AU73" s="164"/>
      <c r="AV73" s="25"/>
    </row>
    <row r="74" spans="1:48" ht="12.75" customHeight="1">
      <c r="A74" s="194" t="s">
        <v>46</v>
      </c>
      <c r="B74" s="38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385"/>
      <c r="AT74" s="164"/>
      <c r="AU74" s="164"/>
      <c r="AV74" s="19"/>
    </row>
    <row r="75" spans="1:48" ht="12.75" customHeight="1">
      <c r="A75" s="282" t="s">
        <v>213</v>
      </c>
      <c r="B75" s="384"/>
      <c r="C75" s="164">
        <f>+'5.1. Séreignard.'!C20</f>
        <v>56640</v>
      </c>
      <c r="D75" s="164">
        <f>+'5.1. Séreignard.'!D20</f>
        <v>47221</v>
      </c>
      <c r="E75" s="164">
        <f>+'5.1. Séreignard.'!E20</f>
        <v>58290</v>
      </c>
      <c r="F75" s="164">
        <f>+'5.1. Séreignard.'!F20</f>
        <v>124423</v>
      </c>
      <c r="G75" s="164">
        <f>+'5.1. Séreignard.'!G20</f>
        <v>12466</v>
      </c>
      <c r="H75" s="164">
        <f>+'5.1. Séreignard.'!H20</f>
        <v>39830</v>
      </c>
      <c r="I75" s="164">
        <f>+'5.1. Séreignard.'!I20</f>
        <v>3730</v>
      </c>
      <c r="J75" s="164">
        <f>+'5.1. Séreignard.'!J20</f>
        <v>685</v>
      </c>
      <c r="K75" s="164">
        <f>+'5.1. Séreignard.'!K20</f>
        <v>0</v>
      </c>
      <c r="L75" s="164">
        <f>+'5.1. Séreignard.'!L20</f>
        <v>5589</v>
      </c>
      <c r="M75" s="164">
        <f>+'5.1. Séreignard.'!M20</f>
        <v>2976</v>
      </c>
      <c r="N75" s="164">
        <f>+'5.1. Séreignard.'!N20</f>
        <v>11229</v>
      </c>
      <c r="O75" s="164">
        <f>+'5.1. Séreignard.'!O20</f>
        <v>82470</v>
      </c>
      <c r="P75" s="164">
        <f>+'5.1. Séreignard.'!P20</f>
        <v>29482</v>
      </c>
      <c r="Q75" s="164">
        <f>+'5.1. Séreignard.'!Q20</f>
        <v>380757</v>
      </c>
      <c r="R75" s="164">
        <f>+'5.1. Séreignard.'!R20</f>
        <v>205697</v>
      </c>
      <c r="S75" s="164">
        <f>+'5.1. Séreignard.'!S20</f>
        <v>204693</v>
      </c>
      <c r="T75" s="164">
        <f>+'5.1. Séreignard.'!T20</f>
        <v>37746</v>
      </c>
      <c r="U75" s="164">
        <f>+'5.1. Séreignard.'!U20</f>
        <v>11840</v>
      </c>
      <c r="V75" s="164">
        <f>+'5.1. Séreignard.'!V20</f>
        <v>1449</v>
      </c>
      <c r="W75" s="164">
        <f>+'5.1. Séreignard.'!W20</f>
        <v>12529</v>
      </c>
      <c r="X75" s="164">
        <f>+'5.1. Séreignard.'!X20</f>
        <v>2341</v>
      </c>
      <c r="Y75" s="164">
        <f>+'5.1. Séreignard.'!Y20</f>
        <v>2043</v>
      </c>
      <c r="Z75" s="164">
        <f>+'5.1. Séreignard.'!Z20</f>
        <v>129980</v>
      </c>
      <c r="AA75" s="164">
        <f>+'5.1. Séreignard.'!AA20</f>
        <v>422861</v>
      </c>
      <c r="AB75" s="164">
        <f>+'5.1. Séreignard.'!AB20</f>
        <v>131556</v>
      </c>
      <c r="AC75" s="164">
        <f>+'5.1. Séreignard.'!AC20</f>
        <v>370098</v>
      </c>
      <c r="AD75" s="164">
        <f>+'5.1. Séreignard.'!AD20</f>
        <v>3376</v>
      </c>
      <c r="AE75" s="164">
        <f>+'5.1. Séreignard.'!AE20</f>
        <v>1070</v>
      </c>
      <c r="AF75" s="164">
        <f>+'5.1. Séreignard.'!AF20</f>
        <v>9329</v>
      </c>
      <c r="AG75" s="164">
        <f>+'5.1. Séreignard.'!AG20</f>
        <v>0</v>
      </c>
      <c r="AH75" s="164">
        <f>+'5.1. Séreignard.'!AH20</f>
        <v>8322</v>
      </c>
      <c r="AI75" s="164">
        <f>+'5.1. Séreignard.'!AI20</f>
        <v>20951</v>
      </c>
      <c r="AJ75" s="164">
        <f>+'5.1. Séreignard.'!AJ20</f>
        <v>107117</v>
      </c>
      <c r="AK75" s="164">
        <f>+'5.1. Séreignard.'!AK20</f>
        <v>218176</v>
      </c>
      <c r="AL75" s="164">
        <f>+'5.1. Séreignard.'!AL20</f>
        <v>7079</v>
      </c>
      <c r="AM75" s="164">
        <f>+'5.1. Séreignard.'!AM20</f>
        <v>3491</v>
      </c>
      <c r="AN75" s="164">
        <f>+'5.1. Séreignard.'!AN20</f>
        <v>10562</v>
      </c>
      <c r="AO75" s="164">
        <f>+'5.1. Séreignard.'!AO20</f>
        <v>12993</v>
      </c>
      <c r="AP75" s="164">
        <f>+'5.1. Séreignard.'!AP20</f>
        <v>3305</v>
      </c>
      <c r="AQ75" s="164">
        <f>+'5.1. Séreignard.'!AQ20</f>
        <v>0</v>
      </c>
      <c r="AR75" s="164">
        <f>+'5.1. Séreignard.'!AR20</f>
        <v>58088</v>
      </c>
      <c r="AS75" s="385"/>
      <c r="AT75" s="164">
        <f>SUM(C75:AR75)</f>
        <v>2852480</v>
      </c>
      <c r="AU75" s="164"/>
      <c r="AV75" s="19"/>
    </row>
    <row r="76" spans="1:48" ht="12.75" customHeight="1">
      <c r="A76" s="282"/>
      <c r="B76" s="38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385"/>
      <c r="AT76" s="164"/>
      <c r="AU76" s="164"/>
      <c r="AV76" s="19"/>
    </row>
    <row r="77" spans="1:75" ht="12.75" customHeight="1">
      <c r="A77" s="174" t="s">
        <v>214</v>
      </c>
      <c r="B77" s="384"/>
      <c r="C77" s="164">
        <f>+C75*C25%</f>
        <v>54544.32</v>
      </c>
      <c r="D77" s="164">
        <f aca="true" t="shared" si="10" ref="D77:AR77">+D75*D25%</f>
        <v>43915.53</v>
      </c>
      <c r="E77" s="164">
        <f t="shared" si="10"/>
        <v>56541.299999999996</v>
      </c>
      <c r="F77" s="164">
        <f t="shared" si="10"/>
        <v>0</v>
      </c>
      <c r="G77" s="164">
        <f t="shared" si="10"/>
        <v>12466</v>
      </c>
      <c r="H77" s="164">
        <f t="shared" si="10"/>
        <v>39830</v>
      </c>
      <c r="I77" s="164">
        <f t="shared" si="10"/>
        <v>3730</v>
      </c>
      <c r="J77" s="164">
        <f t="shared" si="10"/>
        <v>685</v>
      </c>
      <c r="K77" s="164">
        <f t="shared" si="10"/>
        <v>0</v>
      </c>
      <c r="L77" s="164">
        <f t="shared" si="10"/>
        <v>5589</v>
      </c>
      <c r="M77" s="164">
        <f t="shared" si="10"/>
        <v>2976</v>
      </c>
      <c r="N77" s="164">
        <f t="shared" si="10"/>
        <v>11229</v>
      </c>
      <c r="O77" s="164">
        <f t="shared" si="10"/>
        <v>82470</v>
      </c>
      <c r="P77" s="164">
        <f t="shared" si="10"/>
        <v>17895.574</v>
      </c>
      <c r="Q77" s="164">
        <f>+Q75*Q25%</f>
        <v>371618.832</v>
      </c>
      <c r="R77" s="164">
        <f t="shared" si="10"/>
        <v>192738.089</v>
      </c>
      <c r="S77" s="164">
        <f t="shared" si="10"/>
        <v>198347.51700000002</v>
      </c>
      <c r="T77" s="164">
        <f>+T75*T25%</f>
        <v>32650.29</v>
      </c>
      <c r="U77" s="164">
        <f>+U75*U25%</f>
        <v>8880</v>
      </c>
      <c r="V77" s="164">
        <f t="shared" si="10"/>
        <v>0</v>
      </c>
      <c r="W77" s="164">
        <f t="shared" si="10"/>
        <v>0</v>
      </c>
      <c r="X77" s="164">
        <f t="shared" si="10"/>
        <v>0</v>
      </c>
      <c r="Y77" s="164">
        <f t="shared" si="10"/>
        <v>0</v>
      </c>
      <c r="Z77" s="164">
        <f t="shared" si="10"/>
        <v>0</v>
      </c>
      <c r="AA77" s="164">
        <f t="shared" si="10"/>
        <v>360700.433</v>
      </c>
      <c r="AB77" s="164">
        <f t="shared" si="10"/>
        <v>129056.436</v>
      </c>
      <c r="AC77" s="164">
        <f t="shared" si="10"/>
        <v>340490.16000000003</v>
      </c>
      <c r="AD77" s="164">
        <f t="shared" si="10"/>
        <v>3376</v>
      </c>
      <c r="AE77" s="164">
        <f t="shared" si="10"/>
        <v>315.65</v>
      </c>
      <c r="AF77" s="164">
        <f t="shared" si="10"/>
        <v>9329</v>
      </c>
      <c r="AG77" s="164">
        <f t="shared" si="10"/>
        <v>0</v>
      </c>
      <c r="AH77" s="164">
        <f>+AH75*AH25%</f>
        <v>3811.4759999999997</v>
      </c>
      <c r="AI77" s="164">
        <f>+AI75*AI25%</f>
        <v>13576.248</v>
      </c>
      <c r="AJ77" s="164">
        <f>+AJ75*AJ25%</f>
        <v>97690.704</v>
      </c>
      <c r="AK77" s="164">
        <f>+AK75*AK25%</f>
        <v>206612.67200000002</v>
      </c>
      <c r="AL77" s="164">
        <f t="shared" si="10"/>
        <v>5946.36</v>
      </c>
      <c r="AM77" s="164">
        <f t="shared" si="10"/>
        <v>3491</v>
      </c>
      <c r="AN77" s="164">
        <f t="shared" si="10"/>
        <v>10562</v>
      </c>
      <c r="AO77" s="164">
        <f>+AO75*AO25%</f>
        <v>12993</v>
      </c>
      <c r="AP77" s="164">
        <f t="shared" si="10"/>
        <v>0</v>
      </c>
      <c r="AQ77" s="164">
        <f t="shared" si="10"/>
        <v>0</v>
      </c>
      <c r="AR77" s="164">
        <f t="shared" si="10"/>
        <v>51640.232</v>
      </c>
      <c r="AS77" s="385"/>
      <c r="AT77" s="164">
        <f>SUM(C77:AR77)</f>
        <v>2385697.8229999994</v>
      </c>
      <c r="AU77" s="164"/>
      <c r="AV77" s="26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</row>
    <row r="78" spans="1:75" ht="12.75" customHeight="1">
      <c r="A78" s="174" t="s">
        <v>215</v>
      </c>
      <c r="B78" s="384"/>
      <c r="C78" s="164">
        <f>+C75*C26%</f>
        <v>396.47999999999996</v>
      </c>
      <c r="D78" s="164">
        <f aca="true" t="shared" si="11" ref="D78:AR78">+D75*D26%</f>
        <v>141.663</v>
      </c>
      <c r="E78" s="164">
        <f t="shared" si="11"/>
        <v>0</v>
      </c>
      <c r="F78" s="164">
        <f t="shared" si="11"/>
        <v>0</v>
      </c>
      <c r="G78" s="164">
        <f t="shared" si="11"/>
        <v>0</v>
      </c>
      <c r="H78" s="164">
        <f t="shared" si="11"/>
        <v>0</v>
      </c>
      <c r="I78" s="164">
        <f t="shared" si="11"/>
        <v>0</v>
      </c>
      <c r="J78" s="164">
        <f t="shared" si="11"/>
        <v>0</v>
      </c>
      <c r="K78" s="164">
        <f t="shared" si="11"/>
        <v>0</v>
      </c>
      <c r="L78" s="164">
        <f t="shared" si="11"/>
        <v>0</v>
      </c>
      <c r="M78" s="164">
        <f t="shared" si="11"/>
        <v>0</v>
      </c>
      <c r="N78" s="164">
        <f t="shared" si="11"/>
        <v>0</v>
      </c>
      <c r="O78" s="164">
        <f t="shared" si="11"/>
        <v>0</v>
      </c>
      <c r="P78" s="164">
        <f t="shared" si="11"/>
        <v>2535.4519999999998</v>
      </c>
      <c r="Q78" s="164">
        <f t="shared" si="11"/>
        <v>4569.084</v>
      </c>
      <c r="R78" s="164">
        <f t="shared" si="11"/>
        <v>2674.061</v>
      </c>
      <c r="S78" s="164">
        <f t="shared" si="11"/>
        <v>1228.1580000000001</v>
      </c>
      <c r="T78" s="164">
        <f>+T75*T26%</f>
        <v>5095.71</v>
      </c>
      <c r="U78" s="164">
        <f>+U75*U26%</f>
        <v>2960</v>
      </c>
      <c r="V78" s="164">
        <f t="shared" si="11"/>
        <v>0</v>
      </c>
      <c r="W78" s="164">
        <f t="shared" si="11"/>
        <v>0</v>
      </c>
      <c r="X78" s="164">
        <f t="shared" si="11"/>
        <v>0</v>
      </c>
      <c r="Y78" s="164">
        <f t="shared" si="11"/>
        <v>0</v>
      </c>
      <c r="Z78" s="164">
        <f t="shared" si="11"/>
        <v>0</v>
      </c>
      <c r="AA78" s="164">
        <f t="shared" si="11"/>
        <v>12685.83</v>
      </c>
      <c r="AB78" s="164">
        <f t="shared" si="11"/>
        <v>0</v>
      </c>
      <c r="AC78" s="164">
        <f t="shared" si="11"/>
        <v>6661.764000000001</v>
      </c>
      <c r="AD78" s="164">
        <f t="shared" si="11"/>
        <v>0</v>
      </c>
      <c r="AE78" s="164">
        <f t="shared" si="11"/>
        <v>754.3499999999999</v>
      </c>
      <c r="AF78" s="164">
        <f t="shared" si="11"/>
        <v>0</v>
      </c>
      <c r="AG78" s="164">
        <f t="shared" si="11"/>
        <v>0</v>
      </c>
      <c r="AH78" s="164">
        <f>+AH75*AH26%</f>
        <v>2113.788</v>
      </c>
      <c r="AI78" s="164">
        <f>+AI75*AI26%</f>
        <v>2912.1890000000003</v>
      </c>
      <c r="AJ78" s="164">
        <f>+AJ75*AJ26%</f>
        <v>1392.5210000000002</v>
      </c>
      <c r="AK78" s="164">
        <f>+AK75*AK26%</f>
        <v>872.7040000000001</v>
      </c>
      <c r="AL78" s="164">
        <f t="shared" si="11"/>
        <v>1132.64</v>
      </c>
      <c r="AM78" s="164">
        <f t="shared" si="11"/>
        <v>0</v>
      </c>
      <c r="AN78" s="164">
        <f t="shared" si="11"/>
        <v>0</v>
      </c>
      <c r="AO78" s="164">
        <f>+AO75*AO26%</f>
        <v>0</v>
      </c>
      <c r="AP78" s="164">
        <f t="shared" si="11"/>
        <v>0</v>
      </c>
      <c r="AQ78" s="164">
        <f t="shared" si="11"/>
        <v>0</v>
      </c>
      <c r="AR78" s="164">
        <f t="shared" si="11"/>
        <v>0</v>
      </c>
      <c r="AS78" s="385"/>
      <c r="AT78" s="164">
        <f>SUM(C78:AR78)</f>
        <v>48126.394</v>
      </c>
      <c r="AU78" s="164"/>
      <c r="AV78" s="19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</row>
    <row r="79" spans="1:75" ht="12.75" customHeight="1">
      <c r="A79" s="174" t="s">
        <v>216</v>
      </c>
      <c r="B79" s="384"/>
      <c r="C79" s="164">
        <f aca="true" t="shared" si="12" ref="C79:AR79">+C75*C27%</f>
        <v>0</v>
      </c>
      <c r="D79" s="164">
        <f t="shared" si="12"/>
        <v>519.431</v>
      </c>
      <c r="E79" s="164">
        <f t="shared" si="12"/>
        <v>1457.25</v>
      </c>
      <c r="F79" s="164">
        <f t="shared" si="12"/>
        <v>0</v>
      </c>
      <c r="G79" s="164">
        <f t="shared" si="12"/>
        <v>0</v>
      </c>
      <c r="H79" s="164">
        <f t="shared" si="12"/>
        <v>0</v>
      </c>
      <c r="I79" s="164">
        <f t="shared" si="12"/>
        <v>0</v>
      </c>
      <c r="J79" s="164">
        <f t="shared" si="12"/>
        <v>0</v>
      </c>
      <c r="K79" s="164">
        <f t="shared" si="12"/>
        <v>0</v>
      </c>
      <c r="L79" s="164">
        <f t="shared" si="12"/>
        <v>0</v>
      </c>
      <c r="M79" s="164">
        <f t="shared" si="12"/>
        <v>0</v>
      </c>
      <c r="N79" s="164">
        <f t="shared" si="12"/>
        <v>0</v>
      </c>
      <c r="O79" s="164">
        <f t="shared" si="12"/>
        <v>0</v>
      </c>
      <c r="P79" s="164">
        <f t="shared" si="12"/>
        <v>560.158</v>
      </c>
      <c r="Q79" s="164">
        <f t="shared" si="12"/>
        <v>2284.542</v>
      </c>
      <c r="R79" s="164">
        <f t="shared" si="12"/>
        <v>8844.971</v>
      </c>
      <c r="S79" s="164">
        <f t="shared" si="12"/>
        <v>2456.3160000000003</v>
      </c>
      <c r="T79" s="164">
        <f>+T75*T27%</f>
        <v>0</v>
      </c>
      <c r="U79" s="164">
        <f>+U75*U27%</f>
        <v>0</v>
      </c>
      <c r="V79" s="164">
        <f t="shared" si="12"/>
        <v>0</v>
      </c>
      <c r="W79" s="164">
        <f t="shared" si="12"/>
        <v>0</v>
      </c>
      <c r="X79" s="164">
        <f t="shared" si="12"/>
        <v>0</v>
      </c>
      <c r="Y79" s="164">
        <f t="shared" si="12"/>
        <v>0</v>
      </c>
      <c r="Z79" s="164">
        <f t="shared" si="12"/>
        <v>0</v>
      </c>
      <c r="AA79" s="164">
        <f t="shared" si="12"/>
        <v>0</v>
      </c>
      <c r="AB79" s="164">
        <f t="shared" si="12"/>
        <v>0</v>
      </c>
      <c r="AC79" s="164">
        <f t="shared" si="12"/>
        <v>0</v>
      </c>
      <c r="AD79" s="164">
        <f t="shared" si="12"/>
        <v>0</v>
      </c>
      <c r="AE79" s="164">
        <f t="shared" si="12"/>
        <v>0</v>
      </c>
      <c r="AF79" s="164">
        <f t="shared" si="12"/>
        <v>0</v>
      </c>
      <c r="AG79" s="164">
        <f t="shared" si="12"/>
        <v>0</v>
      </c>
      <c r="AH79" s="164">
        <f>+AH75*AH27%</f>
        <v>0</v>
      </c>
      <c r="AI79" s="164">
        <f>+AI75*AI27%</f>
        <v>2975.042</v>
      </c>
      <c r="AJ79" s="164">
        <f>+AJ75*AJ27%</f>
        <v>4070.446</v>
      </c>
      <c r="AK79" s="164">
        <f>+AK75*AK27%</f>
        <v>8945.215999999999</v>
      </c>
      <c r="AL79" s="164">
        <f t="shared" si="12"/>
        <v>0</v>
      </c>
      <c r="AM79" s="164">
        <f t="shared" si="12"/>
        <v>0</v>
      </c>
      <c r="AN79" s="164">
        <f t="shared" si="12"/>
        <v>0</v>
      </c>
      <c r="AO79" s="164">
        <f>+AO75*AO27%</f>
        <v>0</v>
      </c>
      <c r="AP79" s="164">
        <f t="shared" si="12"/>
        <v>0</v>
      </c>
      <c r="AQ79" s="164">
        <f t="shared" si="12"/>
        <v>0</v>
      </c>
      <c r="AR79" s="164">
        <f t="shared" si="12"/>
        <v>0</v>
      </c>
      <c r="AS79" s="385"/>
      <c r="AT79" s="164">
        <f>SUM(C79:AR79)</f>
        <v>32113.371999999996</v>
      </c>
      <c r="AU79" s="164"/>
      <c r="AV79" s="19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</row>
    <row r="80" spans="1:75" ht="12.75" customHeight="1">
      <c r="A80" s="174" t="s">
        <v>217</v>
      </c>
      <c r="B80" s="384"/>
      <c r="C80" s="164">
        <f aca="true" t="shared" si="13" ref="C80:AR80">+C75*C28%</f>
        <v>1699.2</v>
      </c>
      <c r="D80" s="164">
        <f t="shared" si="13"/>
        <v>2644.3759999999997</v>
      </c>
      <c r="E80" s="164">
        <f t="shared" si="13"/>
        <v>291.45</v>
      </c>
      <c r="F80" s="164">
        <f t="shared" si="13"/>
        <v>0</v>
      </c>
      <c r="G80" s="164">
        <f t="shared" si="13"/>
        <v>0</v>
      </c>
      <c r="H80" s="164">
        <f t="shared" si="13"/>
        <v>0</v>
      </c>
      <c r="I80" s="164">
        <f t="shared" si="13"/>
        <v>0</v>
      </c>
      <c r="J80" s="164">
        <f t="shared" si="13"/>
        <v>0</v>
      </c>
      <c r="K80" s="164">
        <f t="shared" si="13"/>
        <v>0</v>
      </c>
      <c r="L80" s="164">
        <f t="shared" si="13"/>
        <v>0</v>
      </c>
      <c r="M80" s="164">
        <f t="shared" si="13"/>
        <v>0</v>
      </c>
      <c r="N80" s="164">
        <f t="shared" si="13"/>
        <v>0</v>
      </c>
      <c r="O80" s="164">
        <f t="shared" si="13"/>
        <v>0</v>
      </c>
      <c r="P80" s="164">
        <f t="shared" si="13"/>
        <v>8490.816</v>
      </c>
      <c r="Q80" s="164">
        <f t="shared" si="13"/>
        <v>2284.542</v>
      </c>
      <c r="R80" s="164">
        <f t="shared" si="13"/>
        <v>1439.879</v>
      </c>
      <c r="S80" s="164">
        <f t="shared" si="13"/>
        <v>2661.009</v>
      </c>
      <c r="T80" s="164">
        <f>+T75*T28%</f>
        <v>0</v>
      </c>
      <c r="U80" s="164">
        <f>+U75*U28%</f>
        <v>0</v>
      </c>
      <c r="V80" s="164">
        <f t="shared" si="13"/>
        <v>0</v>
      </c>
      <c r="W80" s="164">
        <f t="shared" si="13"/>
        <v>0</v>
      </c>
      <c r="X80" s="164">
        <f t="shared" si="13"/>
        <v>0</v>
      </c>
      <c r="Y80" s="164">
        <f t="shared" si="13"/>
        <v>0</v>
      </c>
      <c r="Z80" s="164">
        <f t="shared" si="13"/>
        <v>0</v>
      </c>
      <c r="AA80" s="164">
        <f t="shared" si="13"/>
        <v>0</v>
      </c>
      <c r="AB80" s="164">
        <f t="shared" si="13"/>
        <v>0</v>
      </c>
      <c r="AC80" s="164">
        <f t="shared" si="13"/>
        <v>0</v>
      </c>
      <c r="AD80" s="164">
        <f t="shared" si="13"/>
        <v>0</v>
      </c>
      <c r="AE80" s="164">
        <f t="shared" si="13"/>
        <v>0</v>
      </c>
      <c r="AF80" s="164">
        <f t="shared" si="13"/>
        <v>0</v>
      </c>
      <c r="AG80" s="164">
        <f t="shared" si="13"/>
        <v>0</v>
      </c>
      <c r="AH80" s="164">
        <f>+AH75*AH28%</f>
        <v>0</v>
      </c>
      <c r="AI80" s="164">
        <f>+AI75*AI28%</f>
        <v>0</v>
      </c>
      <c r="AJ80" s="164">
        <f>+AJ75*AJ28%</f>
        <v>856.936</v>
      </c>
      <c r="AK80" s="164">
        <f>+AK75*AK28%</f>
        <v>1090.88</v>
      </c>
      <c r="AL80" s="164">
        <f t="shared" si="13"/>
        <v>0</v>
      </c>
      <c r="AM80" s="164">
        <f t="shared" si="13"/>
        <v>0</v>
      </c>
      <c r="AN80" s="164">
        <f t="shared" si="13"/>
        <v>0</v>
      </c>
      <c r="AO80" s="164">
        <f>+AO75*AO28%</f>
        <v>0</v>
      </c>
      <c r="AP80" s="164">
        <f t="shared" si="13"/>
        <v>0</v>
      </c>
      <c r="AQ80" s="164">
        <f t="shared" si="13"/>
        <v>0</v>
      </c>
      <c r="AR80" s="164">
        <f t="shared" si="13"/>
        <v>4937.4800000000005</v>
      </c>
      <c r="AS80" s="385"/>
      <c r="AT80" s="164">
        <f>SUM(C80:AR80)</f>
        <v>26396.568</v>
      </c>
      <c r="AU80" s="164"/>
      <c r="AV80" s="19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</row>
    <row r="81" spans="1:75" ht="12.75" customHeight="1">
      <c r="A81" s="174" t="s">
        <v>218</v>
      </c>
      <c r="B81" s="384"/>
      <c r="C81" s="164">
        <f aca="true" t="shared" si="14" ref="C81:AP81">+C75*C29%</f>
        <v>0</v>
      </c>
      <c r="D81" s="164">
        <f t="shared" si="14"/>
        <v>0</v>
      </c>
      <c r="E81" s="164">
        <f t="shared" si="14"/>
        <v>0</v>
      </c>
      <c r="F81" s="164">
        <f t="shared" si="14"/>
        <v>124423</v>
      </c>
      <c r="G81" s="164">
        <f t="shared" si="14"/>
        <v>0</v>
      </c>
      <c r="H81" s="164">
        <f t="shared" si="14"/>
        <v>0</v>
      </c>
      <c r="I81" s="164">
        <f t="shared" si="14"/>
        <v>0</v>
      </c>
      <c r="J81" s="164">
        <f t="shared" si="14"/>
        <v>0</v>
      </c>
      <c r="K81" s="164">
        <f t="shared" si="14"/>
        <v>0</v>
      </c>
      <c r="L81" s="164">
        <f t="shared" si="14"/>
        <v>0</v>
      </c>
      <c r="M81" s="164">
        <f t="shared" si="14"/>
        <v>0</v>
      </c>
      <c r="N81" s="164">
        <f t="shared" si="14"/>
        <v>0</v>
      </c>
      <c r="O81" s="164">
        <f t="shared" si="14"/>
        <v>0</v>
      </c>
      <c r="P81" s="164">
        <f t="shared" si="14"/>
        <v>0</v>
      </c>
      <c r="Q81" s="164">
        <f t="shared" si="14"/>
        <v>0</v>
      </c>
      <c r="R81" s="164">
        <f t="shared" si="14"/>
        <v>0</v>
      </c>
      <c r="S81" s="164">
        <f t="shared" si="14"/>
        <v>0</v>
      </c>
      <c r="T81" s="164">
        <f>+T75*T29%</f>
        <v>0</v>
      </c>
      <c r="U81" s="164">
        <f>+U75*U29%</f>
        <v>0</v>
      </c>
      <c r="V81" s="164">
        <f t="shared" si="14"/>
        <v>1449</v>
      </c>
      <c r="W81" s="164">
        <f t="shared" si="14"/>
        <v>12529</v>
      </c>
      <c r="X81" s="164">
        <f t="shared" si="14"/>
        <v>2341</v>
      </c>
      <c r="Y81" s="164">
        <f t="shared" si="14"/>
        <v>2043</v>
      </c>
      <c r="Z81" s="164">
        <f t="shared" si="14"/>
        <v>129980</v>
      </c>
      <c r="AA81" s="164">
        <f t="shared" si="14"/>
        <v>49474.736999999994</v>
      </c>
      <c r="AB81" s="164">
        <f t="shared" si="14"/>
        <v>2499.564</v>
      </c>
      <c r="AC81" s="164">
        <f t="shared" si="14"/>
        <v>22946.076</v>
      </c>
      <c r="AD81" s="164">
        <f t="shared" si="14"/>
        <v>0</v>
      </c>
      <c r="AE81" s="164">
        <f t="shared" si="14"/>
        <v>0</v>
      </c>
      <c r="AF81" s="164">
        <f t="shared" si="14"/>
        <v>0</v>
      </c>
      <c r="AG81" s="164">
        <f t="shared" si="14"/>
        <v>0</v>
      </c>
      <c r="AH81" s="164">
        <f>+AH75*AH29%</f>
        <v>2396.7360000000003</v>
      </c>
      <c r="AI81" s="164">
        <f>+AI75*AI29%</f>
        <v>1487.521</v>
      </c>
      <c r="AJ81" s="164">
        <f>+AJ75*AJ29%</f>
        <v>3106.3929999999996</v>
      </c>
      <c r="AK81" s="164">
        <f>+AK75*AK29%</f>
        <v>654.528</v>
      </c>
      <c r="AL81" s="164">
        <f t="shared" si="14"/>
        <v>0</v>
      </c>
      <c r="AM81" s="164">
        <f t="shared" si="14"/>
        <v>0</v>
      </c>
      <c r="AN81" s="164">
        <f t="shared" si="14"/>
        <v>0</v>
      </c>
      <c r="AO81" s="164">
        <f>+AO75*AO29%</f>
        <v>0</v>
      </c>
      <c r="AP81" s="164">
        <f t="shared" si="14"/>
        <v>3305</v>
      </c>
      <c r="AQ81" s="164">
        <f>+AQ75</f>
        <v>0</v>
      </c>
      <c r="AR81" s="164">
        <f>+AR75*AR29%</f>
        <v>1510.2880000000002</v>
      </c>
      <c r="AS81" s="386"/>
      <c r="AT81" s="164">
        <f>SUM(C81:AR81)</f>
        <v>360145.84299999994</v>
      </c>
      <c r="AU81" s="164"/>
      <c r="AV81" s="19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</row>
    <row r="82" spans="1:75" ht="12.75" customHeight="1">
      <c r="A82" s="282" t="s">
        <v>219</v>
      </c>
      <c r="B82" s="384"/>
      <c r="C82" s="185">
        <f>SUM(C77:C81)</f>
        <v>56640</v>
      </c>
      <c r="D82" s="185">
        <f aca="true" t="shared" si="15" ref="D82:AR82">SUM(D77:D81)</f>
        <v>47220.99999999999</v>
      </c>
      <c r="E82" s="185">
        <f t="shared" si="15"/>
        <v>58289.99999999999</v>
      </c>
      <c r="F82" s="185">
        <f t="shared" si="15"/>
        <v>124423</v>
      </c>
      <c r="G82" s="185">
        <f t="shared" si="15"/>
        <v>12466</v>
      </c>
      <c r="H82" s="185">
        <f t="shared" si="15"/>
        <v>39830</v>
      </c>
      <c r="I82" s="185">
        <f t="shared" si="15"/>
        <v>3730</v>
      </c>
      <c r="J82" s="185">
        <f t="shared" si="15"/>
        <v>685</v>
      </c>
      <c r="K82" s="185">
        <f t="shared" si="15"/>
        <v>0</v>
      </c>
      <c r="L82" s="185">
        <f t="shared" si="15"/>
        <v>5589</v>
      </c>
      <c r="M82" s="185">
        <f t="shared" si="15"/>
        <v>2976</v>
      </c>
      <c r="N82" s="185">
        <f t="shared" si="15"/>
        <v>11229</v>
      </c>
      <c r="O82" s="185">
        <f t="shared" si="15"/>
        <v>82470</v>
      </c>
      <c r="P82" s="185">
        <f t="shared" si="15"/>
        <v>29482</v>
      </c>
      <c r="Q82" s="185">
        <f t="shared" si="15"/>
        <v>380757</v>
      </c>
      <c r="R82" s="185">
        <f t="shared" si="15"/>
        <v>205696.99999999997</v>
      </c>
      <c r="S82" s="185">
        <f t="shared" si="15"/>
        <v>204693</v>
      </c>
      <c r="T82" s="185">
        <f>SUM(T77:T81)</f>
        <v>37746</v>
      </c>
      <c r="U82" s="185">
        <f>SUM(U77:U81)</f>
        <v>11840</v>
      </c>
      <c r="V82" s="185">
        <f t="shared" si="15"/>
        <v>1449</v>
      </c>
      <c r="W82" s="185">
        <f t="shared" si="15"/>
        <v>12529</v>
      </c>
      <c r="X82" s="185">
        <f t="shared" si="15"/>
        <v>2341</v>
      </c>
      <c r="Y82" s="185">
        <f t="shared" si="15"/>
        <v>2043</v>
      </c>
      <c r="Z82" s="185">
        <f t="shared" si="15"/>
        <v>129980</v>
      </c>
      <c r="AA82" s="185">
        <f t="shared" si="15"/>
        <v>422861</v>
      </c>
      <c r="AB82" s="185">
        <f t="shared" si="15"/>
        <v>131556</v>
      </c>
      <c r="AC82" s="185">
        <f t="shared" si="15"/>
        <v>370098.00000000006</v>
      </c>
      <c r="AD82" s="185">
        <f t="shared" si="15"/>
        <v>3376</v>
      </c>
      <c r="AE82" s="185">
        <f t="shared" si="15"/>
        <v>1070</v>
      </c>
      <c r="AF82" s="185">
        <f t="shared" si="15"/>
        <v>9329</v>
      </c>
      <c r="AG82" s="185">
        <f t="shared" si="15"/>
        <v>0</v>
      </c>
      <c r="AH82" s="185">
        <f>SUM(AH77:AH81)</f>
        <v>8322</v>
      </c>
      <c r="AI82" s="185">
        <f>SUM(AI77:AI81)</f>
        <v>20951</v>
      </c>
      <c r="AJ82" s="185">
        <f>SUM(AJ77:AJ81)</f>
        <v>107116.99999999999</v>
      </c>
      <c r="AK82" s="185">
        <f>SUM(AK77:AK81)</f>
        <v>218176</v>
      </c>
      <c r="AL82" s="185">
        <f t="shared" si="15"/>
        <v>7079</v>
      </c>
      <c r="AM82" s="185">
        <f t="shared" si="15"/>
        <v>3491</v>
      </c>
      <c r="AN82" s="185">
        <f t="shared" si="15"/>
        <v>10562</v>
      </c>
      <c r="AO82" s="185">
        <f>SUM(AO77:AO81)</f>
        <v>12993</v>
      </c>
      <c r="AP82" s="185">
        <f t="shared" si="15"/>
        <v>3305</v>
      </c>
      <c r="AQ82" s="185">
        <f t="shared" si="15"/>
        <v>0</v>
      </c>
      <c r="AR82" s="185">
        <f t="shared" si="15"/>
        <v>58088.00000000001</v>
      </c>
      <c r="AS82" s="386"/>
      <c r="AT82" s="164">
        <f>SUM(AT77:AT81)</f>
        <v>2852479.999999999</v>
      </c>
      <c r="AU82" s="164"/>
      <c r="AV82" s="19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</row>
    <row r="83" spans="1:75" ht="12.75" customHeight="1">
      <c r="A83" s="174"/>
      <c r="B83" s="384"/>
      <c r="C83" s="185">
        <f aca="true" t="shared" si="16" ref="C83:AR83">+C82-C75</f>
        <v>0</v>
      </c>
      <c r="D83" s="185">
        <f t="shared" si="16"/>
        <v>0</v>
      </c>
      <c r="E83" s="185">
        <f t="shared" si="16"/>
        <v>0</v>
      </c>
      <c r="F83" s="185">
        <f t="shared" si="16"/>
        <v>0</v>
      </c>
      <c r="G83" s="185">
        <f t="shared" si="16"/>
        <v>0</v>
      </c>
      <c r="H83" s="185">
        <f t="shared" si="16"/>
        <v>0</v>
      </c>
      <c r="I83" s="185">
        <f t="shared" si="16"/>
        <v>0</v>
      </c>
      <c r="J83" s="185">
        <f t="shared" si="16"/>
        <v>0</v>
      </c>
      <c r="K83" s="185">
        <f t="shared" si="16"/>
        <v>0</v>
      </c>
      <c r="L83" s="185">
        <f t="shared" si="16"/>
        <v>0</v>
      </c>
      <c r="M83" s="185">
        <f t="shared" si="16"/>
        <v>0</v>
      </c>
      <c r="N83" s="185">
        <f t="shared" si="16"/>
        <v>0</v>
      </c>
      <c r="O83" s="185">
        <f t="shared" si="16"/>
        <v>0</v>
      </c>
      <c r="P83" s="185">
        <f t="shared" si="16"/>
        <v>0</v>
      </c>
      <c r="Q83" s="185">
        <f t="shared" si="16"/>
        <v>0</v>
      </c>
      <c r="R83" s="185">
        <f t="shared" si="16"/>
        <v>0</v>
      </c>
      <c r="S83" s="185">
        <f t="shared" si="16"/>
        <v>0</v>
      </c>
      <c r="T83" s="185">
        <f>+T82-T75</f>
        <v>0</v>
      </c>
      <c r="U83" s="185">
        <f>+U82-U75</f>
        <v>0</v>
      </c>
      <c r="V83" s="185">
        <f t="shared" si="16"/>
        <v>0</v>
      </c>
      <c r="W83" s="185">
        <f t="shared" si="16"/>
        <v>0</v>
      </c>
      <c r="X83" s="185">
        <f t="shared" si="16"/>
        <v>0</v>
      </c>
      <c r="Y83" s="185">
        <f t="shared" si="16"/>
        <v>0</v>
      </c>
      <c r="Z83" s="185">
        <f t="shared" si="16"/>
        <v>0</v>
      </c>
      <c r="AA83" s="185">
        <f t="shared" si="16"/>
        <v>0</v>
      </c>
      <c r="AB83" s="185">
        <f t="shared" si="16"/>
        <v>0</v>
      </c>
      <c r="AC83" s="185">
        <f t="shared" si="16"/>
        <v>0</v>
      </c>
      <c r="AD83" s="185">
        <f t="shared" si="16"/>
        <v>0</v>
      </c>
      <c r="AE83" s="185">
        <f t="shared" si="16"/>
        <v>0</v>
      </c>
      <c r="AF83" s="185">
        <f t="shared" si="16"/>
        <v>0</v>
      </c>
      <c r="AG83" s="185">
        <f t="shared" si="16"/>
        <v>0</v>
      </c>
      <c r="AH83" s="185">
        <f>+AH82-AH75</f>
        <v>0</v>
      </c>
      <c r="AI83" s="185">
        <f>+AI82-AI75</f>
        <v>0</v>
      </c>
      <c r="AJ83" s="185">
        <f>+AJ82-AJ75</f>
        <v>0</v>
      </c>
      <c r="AK83" s="185">
        <f>+AK82-AK75</f>
        <v>0</v>
      </c>
      <c r="AL83" s="185">
        <f t="shared" si="16"/>
        <v>0</v>
      </c>
      <c r="AM83" s="185">
        <f t="shared" si="16"/>
        <v>0</v>
      </c>
      <c r="AN83" s="185">
        <f t="shared" si="16"/>
        <v>0</v>
      </c>
      <c r="AO83" s="185">
        <f>+AO82-AO75</f>
        <v>0</v>
      </c>
      <c r="AP83" s="185">
        <f t="shared" si="16"/>
        <v>0</v>
      </c>
      <c r="AQ83" s="185">
        <f t="shared" si="16"/>
        <v>0</v>
      </c>
      <c r="AR83" s="185">
        <f t="shared" si="16"/>
        <v>0</v>
      </c>
      <c r="AS83" s="387"/>
      <c r="AT83" s="164">
        <f>+'5.1. Séreignard.'!AT20-'5.2 Kennitölur (séreign)'!AT82</f>
        <v>0</v>
      </c>
      <c r="AU83" s="164"/>
      <c r="AV83" s="19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</row>
    <row r="84" spans="1:48" ht="12.75" customHeight="1" thickBot="1">
      <c r="A84" s="266"/>
      <c r="B84" s="380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  <c r="T84" s="381"/>
      <c r="U84" s="381"/>
      <c r="V84" s="382"/>
      <c r="W84" s="382"/>
      <c r="X84" s="381"/>
      <c r="Y84" s="381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381"/>
      <c r="AL84" s="381"/>
      <c r="AM84" s="381"/>
      <c r="AN84" s="381"/>
      <c r="AO84" s="381"/>
      <c r="AP84" s="381"/>
      <c r="AQ84" s="381"/>
      <c r="AR84" s="381"/>
      <c r="AS84" s="383"/>
      <c r="AT84" s="382"/>
      <c r="AU84" s="164"/>
      <c r="AV84" s="25"/>
    </row>
    <row r="85" spans="1:48" ht="12.75" customHeight="1">
      <c r="A85" s="194" t="s">
        <v>220</v>
      </c>
      <c r="B85" s="38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385"/>
      <c r="AT85" s="164"/>
      <c r="AU85" s="164"/>
      <c r="AV85" s="25"/>
    </row>
    <row r="86" spans="1:161" ht="12.75" customHeight="1">
      <c r="A86" s="164" t="s">
        <v>98</v>
      </c>
      <c r="B86" s="384"/>
      <c r="C86" s="164">
        <f>+'5.1. Séreignard.'!C86</f>
        <v>4408531</v>
      </c>
      <c r="D86" s="164">
        <f>+'5.1. Séreignard.'!D86</f>
        <v>1514390</v>
      </c>
      <c r="E86" s="164">
        <f>+'5.1. Séreignard.'!E86</f>
        <v>537501</v>
      </c>
      <c r="F86" s="164">
        <f>+'5.1. Séreignard.'!F86</f>
        <v>6315582</v>
      </c>
      <c r="G86" s="164">
        <f>+'5.1. Séreignard.'!G86</f>
        <v>684684</v>
      </c>
      <c r="H86" s="164">
        <f>+'5.1. Séreignard.'!H86</f>
        <v>969835</v>
      </c>
      <c r="I86" s="164">
        <f>+'5.1. Séreignard.'!I86</f>
        <v>21720</v>
      </c>
      <c r="J86" s="164">
        <f>+'5.1. Séreignard.'!J86</f>
        <v>80948</v>
      </c>
      <c r="K86" s="164">
        <f>+'5.1. Séreignard.'!K86</f>
        <v>216698</v>
      </c>
      <c r="L86" s="164">
        <f>+'5.1. Séreignard.'!L86</f>
        <v>91517</v>
      </c>
      <c r="M86" s="164">
        <f>+'5.1. Séreignard.'!M86</f>
        <v>4937</v>
      </c>
      <c r="N86" s="164">
        <f>+'5.1. Séreignard.'!N86</f>
        <v>363481</v>
      </c>
      <c r="O86" s="164">
        <f>+'5.1. Séreignard.'!O86</f>
        <v>2444569</v>
      </c>
      <c r="P86" s="164">
        <f>+'5.1. Séreignard.'!P86</f>
        <v>12787181</v>
      </c>
      <c r="Q86" s="164">
        <f>+'5.1. Séreignard.'!Q86</f>
        <v>33874776</v>
      </c>
      <c r="R86" s="164">
        <f>+'5.1. Séreignard.'!R86</f>
        <v>3637853</v>
      </c>
      <c r="S86" s="164">
        <f>+'5.1. Séreignard.'!S86</f>
        <v>2087263</v>
      </c>
      <c r="T86" s="164">
        <f>+'5.1. Séreignard.'!T86</f>
        <v>637082</v>
      </c>
      <c r="U86" s="164">
        <f>+'5.1. Séreignard.'!U86</f>
        <v>1944704</v>
      </c>
      <c r="V86" s="164">
        <f>+'5.1. Séreignard.'!V86</f>
        <v>13241</v>
      </c>
      <c r="W86" s="164">
        <f>+'5.1. Séreignard.'!W86</f>
        <v>808317</v>
      </c>
      <c r="X86" s="164">
        <f>+'5.1. Séreignard.'!X86</f>
        <v>151211</v>
      </c>
      <c r="Y86" s="164">
        <f>+'5.1. Séreignard.'!Y86</f>
        <v>95412</v>
      </c>
      <c r="Z86" s="164">
        <f>+'5.1. Séreignard.'!Z86</f>
        <v>2022670</v>
      </c>
      <c r="AA86" s="164">
        <f>+'5.1. Séreignard.'!AA86</f>
        <v>45289758</v>
      </c>
      <c r="AB86" s="164">
        <f>+'5.1. Séreignard.'!AB86</f>
        <v>3091892</v>
      </c>
      <c r="AC86" s="164">
        <f>+'5.1. Séreignard.'!AC86</f>
        <v>4675408</v>
      </c>
      <c r="AD86" s="164">
        <f>+'5.1. Séreignard.'!AD86</f>
        <v>385230</v>
      </c>
      <c r="AE86" s="164">
        <f>+'5.1. Séreignard.'!AE86</f>
        <v>125826</v>
      </c>
      <c r="AF86" s="164">
        <f>+'5.1. Séreignard.'!AF86</f>
        <v>1929018</v>
      </c>
      <c r="AG86" s="164">
        <f>+'5.1. Séreignard.'!AG86</f>
        <v>97442</v>
      </c>
      <c r="AH86" s="164">
        <f>+'5.1. Séreignard.'!AH86</f>
        <v>11752251</v>
      </c>
      <c r="AI86" s="164">
        <f>+'5.1. Séreignard.'!AI86</f>
        <v>7531503</v>
      </c>
      <c r="AJ86" s="164">
        <f>+'5.1. Séreignard.'!AJ86</f>
        <v>5234656</v>
      </c>
      <c r="AK86" s="164">
        <f>+'5.1. Séreignard.'!AK86</f>
        <v>3004019</v>
      </c>
      <c r="AL86" s="164">
        <f>+'5.1. Séreignard.'!AL86</f>
        <v>676136</v>
      </c>
      <c r="AM86" s="164">
        <f>+'5.1. Séreignard.'!AM86</f>
        <v>103435</v>
      </c>
      <c r="AN86" s="164">
        <f>+'5.1. Séreignard.'!AN86</f>
        <v>53830</v>
      </c>
      <c r="AO86" s="164">
        <f>+'5.1. Séreignard.'!AO86</f>
        <v>360614</v>
      </c>
      <c r="AP86" s="164">
        <f>+'5.1. Séreignard.'!AP86</f>
        <v>40415</v>
      </c>
      <c r="AQ86" s="164">
        <f>+'5.1. Séreignard.'!AQ86</f>
        <v>138238</v>
      </c>
      <c r="AR86" s="164">
        <f>+'5.1. Séreignard.'!AR86</f>
        <v>2442367</v>
      </c>
      <c r="AS86" s="164"/>
      <c r="AT86" s="164">
        <f>+'5.1. Séreignard.'!AT86</f>
        <v>162646141</v>
      </c>
      <c r="AU86" s="164"/>
      <c r="AV86" s="19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</row>
    <row r="87" spans="1:161" ht="12.75" customHeight="1">
      <c r="A87" s="164"/>
      <c r="B87" s="38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9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</row>
    <row r="88" spans="1:161" ht="12.75" customHeight="1">
      <c r="A88" s="164" t="str">
        <f aca="true" t="shared" si="17" ref="A88:A94">+A10</f>
        <v>Skráð verðbréf með br. tekjum (%)</v>
      </c>
      <c r="B88" s="384"/>
      <c r="C88" s="164">
        <f aca="true" t="shared" si="18" ref="C88:AR88">C86*C10%</f>
        <v>4152836.202</v>
      </c>
      <c r="D88" s="164">
        <f t="shared" si="18"/>
        <v>1409897.0899999999</v>
      </c>
      <c r="E88" s="164">
        <f t="shared" si="18"/>
        <v>0</v>
      </c>
      <c r="F88" s="164">
        <f t="shared" si="18"/>
        <v>3252524.73</v>
      </c>
      <c r="G88" s="164">
        <f t="shared" si="18"/>
        <v>334810.47599999997</v>
      </c>
      <c r="H88" s="164">
        <f t="shared" si="18"/>
        <v>329743.9</v>
      </c>
      <c r="I88" s="164">
        <f t="shared" si="18"/>
        <v>0</v>
      </c>
      <c r="J88" s="164">
        <f t="shared" si="18"/>
        <v>44845.191999999995</v>
      </c>
      <c r="K88" s="164">
        <f t="shared" si="18"/>
        <v>77794.582</v>
      </c>
      <c r="L88" s="164">
        <f t="shared" si="18"/>
        <v>16381.543</v>
      </c>
      <c r="M88" s="164">
        <f t="shared" si="18"/>
        <v>0</v>
      </c>
      <c r="N88" s="164">
        <f t="shared" si="18"/>
        <v>140303.666</v>
      </c>
      <c r="O88" s="164">
        <f t="shared" si="18"/>
        <v>0</v>
      </c>
      <c r="P88" s="164">
        <f t="shared" si="18"/>
        <v>8196583.020999999</v>
      </c>
      <c r="Q88" s="164">
        <f t="shared" si="18"/>
        <v>20832987.24</v>
      </c>
      <c r="R88" s="164">
        <f t="shared" si="18"/>
        <v>2219090.33</v>
      </c>
      <c r="S88" s="164">
        <f t="shared" si="18"/>
        <v>1557098.198</v>
      </c>
      <c r="T88" s="164">
        <f>T86*T10%</f>
        <v>512851.01</v>
      </c>
      <c r="U88" s="164">
        <f>U86*U10%</f>
        <v>1649108.9919999999</v>
      </c>
      <c r="V88" s="164">
        <f t="shared" si="18"/>
        <v>0</v>
      </c>
      <c r="W88" s="164">
        <f t="shared" si="18"/>
        <v>0</v>
      </c>
      <c r="X88" s="164">
        <f t="shared" si="18"/>
        <v>38407.594</v>
      </c>
      <c r="Y88" s="164">
        <f t="shared" si="18"/>
        <v>37878.564</v>
      </c>
      <c r="Z88" s="164">
        <f t="shared" si="18"/>
        <v>813113.3400000001</v>
      </c>
      <c r="AA88" s="164">
        <f t="shared" si="18"/>
        <v>30661166.166</v>
      </c>
      <c r="AB88" s="164">
        <f t="shared" si="18"/>
        <v>1573773.028</v>
      </c>
      <c r="AC88" s="164">
        <f t="shared" si="18"/>
        <v>972484.8640000001</v>
      </c>
      <c r="AD88" s="164">
        <f t="shared" si="18"/>
        <v>385230</v>
      </c>
      <c r="AE88" s="164">
        <f t="shared" si="18"/>
        <v>125826</v>
      </c>
      <c r="AF88" s="164">
        <f t="shared" si="18"/>
        <v>1898153.7120000003</v>
      </c>
      <c r="AG88" s="164">
        <f t="shared" si="18"/>
        <v>92667.34199999999</v>
      </c>
      <c r="AH88" s="164">
        <f>AH86*AH10%</f>
        <v>8590895.481</v>
      </c>
      <c r="AI88" s="164">
        <f>AI86*AI10%</f>
        <v>5535654.705</v>
      </c>
      <c r="AJ88" s="164">
        <f>AJ86*AJ10%</f>
        <v>4349999.136</v>
      </c>
      <c r="AK88" s="164">
        <f>AK86*AK10%</f>
        <v>2649544.758</v>
      </c>
      <c r="AL88" s="164">
        <f t="shared" si="18"/>
        <v>563221.288</v>
      </c>
      <c r="AM88" s="164">
        <f t="shared" si="18"/>
        <v>93091.5</v>
      </c>
      <c r="AN88" s="164">
        <f t="shared" si="18"/>
        <v>0</v>
      </c>
      <c r="AO88" s="164">
        <f>AO86*AO10%</f>
        <v>294621.63800000004</v>
      </c>
      <c r="AP88" s="164">
        <f t="shared" si="18"/>
        <v>16166</v>
      </c>
      <c r="AQ88" s="164">
        <f t="shared" si="18"/>
        <v>69119</v>
      </c>
      <c r="AR88" s="164">
        <f t="shared" si="18"/>
        <v>1763388.974</v>
      </c>
      <c r="AS88" s="164"/>
      <c r="AT88" s="164">
        <f aca="true" t="shared" si="19" ref="AT88:AT93">SUM(C88:AR88)</f>
        <v>105251259.26199998</v>
      </c>
      <c r="AU88" s="164"/>
      <c r="AV88" s="19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</row>
    <row r="89" spans="1:161" ht="12.75" customHeight="1">
      <c r="A89" s="164" t="str">
        <f t="shared" si="17"/>
        <v>Skráð verðbréf með föst. tekjum (%)</v>
      </c>
      <c r="B89" s="384"/>
      <c r="C89" s="164">
        <f aca="true" t="shared" si="20" ref="C89:AR89">C86*C11%</f>
        <v>145481.52300000002</v>
      </c>
      <c r="D89" s="164">
        <f t="shared" si="20"/>
        <v>69661.94</v>
      </c>
      <c r="E89" s="164">
        <f t="shared" si="20"/>
        <v>0</v>
      </c>
      <c r="F89" s="164">
        <f t="shared" si="20"/>
        <v>1938883.6739999999</v>
      </c>
      <c r="G89" s="164">
        <f t="shared" si="20"/>
        <v>349873.52400000003</v>
      </c>
      <c r="H89" s="164">
        <f t="shared" si="20"/>
        <v>640091.1</v>
      </c>
      <c r="I89" s="164">
        <f t="shared" si="20"/>
        <v>0</v>
      </c>
      <c r="J89" s="164">
        <f t="shared" si="20"/>
        <v>33431.524</v>
      </c>
      <c r="K89" s="164">
        <f t="shared" si="20"/>
        <v>128718.612</v>
      </c>
      <c r="L89" s="164">
        <f t="shared" si="20"/>
        <v>69644.43699999999</v>
      </c>
      <c r="M89" s="164">
        <f t="shared" si="20"/>
        <v>4571.661999999999</v>
      </c>
      <c r="N89" s="164">
        <f t="shared" si="20"/>
        <v>206820.68899999998</v>
      </c>
      <c r="O89" s="164">
        <f t="shared" si="20"/>
        <v>2266115.463</v>
      </c>
      <c r="P89" s="164">
        <f t="shared" si="20"/>
        <v>3350241.4220000003</v>
      </c>
      <c r="Q89" s="164">
        <f t="shared" si="20"/>
        <v>7418575.943999999</v>
      </c>
      <c r="R89" s="164">
        <f t="shared" si="20"/>
        <v>927652.515</v>
      </c>
      <c r="S89" s="164">
        <f t="shared" si="20"/>
        <v>361096.499</v>
      </c>
      <c r="T89" s="164">
        <f>T86*T11%</f>
        <v>124230.99</v>
      </c>
      <c r="U89" s="164">
        <f>U86*U11%</f>
        <v>295595.008</v>
      </c>
      <c r="V89" s="164">
        <f t="shared" si="20"/>
        <v>0</v>
      </c>
      <c r="W89" s="164">
        <f t="shared" si="20"/>
        <v>307160.46</v>
      </c>
      <c r="X89" s="164">
        <f t="shared" si="20"/>
        <v>42792.713</v>
      </c>
      <c r="Y89" s="164">
        <f t="shared" si="20"/>
        <v>36542.795999999995</v>
      </c>
      <c r="Z89" s="164">
        <f t="shared" si="20"/>
        <v>724115.86</v>
      </c>
      <c r="AA89" s="164">
        <f t="shared" si="20"/>
        <v>13405768.368000003</v>
      </c>
      <c r="AB89" s="164">
        <f t="shared" si="20"/>
        <v>1484108.16</v>
      </c>
      <c r="AC89" s="164">
        <f t="shared" si="20"/>
        <v>3230706.928</v>
      </c>
      <c r="AD89" s="164">
        <f t="shared" si="20"/>
        <v>0</v>
      </c>
      <c r="AE89" s="164">
        <f t="shared" si="20"/>
        <v>0</v>
      </c>
      <c r="AF89" s="164">
        <f t="shared" si="20"/>
        <v>0</v>
      </c>
      <c r="AG89" s="164">
        <f t="shared" si="20"/>
        <v>0</v>
      </c>
      <c r="AH89" s="164">
        <f>AH86*AH11%</f>
        <v>364319.781</v>
      </c>
      <c r="AI89" s="164">
        <f>AI86*AI11%</f>
        <v>376575.15</v>
      </c>
      <c r="AJ89" s="164">
        <f>AJ86*AJ11%</f>
        <v>104693.12</v>
      </c>
      <c r="AK89" s="164">
        <f>AK86*AK11%</f>
        <v>0</v>
      </c>
      <c r="AL89" s="164">
        <f t="shared" si="20"/>
        <v>110886.30399999999</v>
      </c>
      <c r="AM89" s="164">
        <f t="shared" si="20"/>
        <v>10033.195</v>
      </c>
      <c r="AN89" s="164">
        <f t="shared" si="20"/>
        <v>0</v>
      </c>
      <c r="AO89" s="164">
        <f>AO86*AO11%</f>
        <v>65992.362</v>
      </c>
      <c r="AP89" s="164">
        <f t="shared" si="20"/>
        <v>24249</v>
      </c>
      <c r="AQ89" s="164">
        <f t="shared" si="20"/>
        <v>69119</v>
      </c>
      <c r="AR89" s="164">
        <f t="shared" si="20"/>
        <v>136772.552</v>
      </c>
      <c r="AS89" s="164"/>
      <c r="AT89" s="164">
        <f t="shared" si="19"/>
        <v>38824522.275000006</v>
      </c>
      <c r="AU89" s="164"/>
      <c r="AV89" s="19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</row>
    <row r="90" spans="1:161" ht="12.75" customHeight="1">
      <c r="A90" s="164" t="str">
        <f t="shared" si="17"/>
        <v>Óskráð verðbréf með br. tekjum (%)</v>
      </c>
      <c r="B90" s="384"/>
      <c r="C90" s="164">
        <f aca="true" t="shared" si="21" ref="C90:AR90">C86*C12%</f>
        <v>30859.716999999997</v>
      </c>
      <c r="D90" s="164">
        <f t="shared" si="21"/>
        <v>1514.39</v>
      </c>
      <c r="E90" s="164">
        <f t="shared" si="21"/>
        <v>0</v>
      </c>
      <c r="F90" s="164">
        <f t="shared" si="21"/>
        <v>170520.714</v>
      </c>
      <c r="G90" s="164">
        <f t="shared" si="21"/>
        <v>0</v>
      </c>
      <c r="H90" s="164">
        <f t="shared" si="21"/>
        <v>0</v>
      </c>
      <c r="I90" s="164">
        <f t="shared" si="21"/>
        <v>0</v>
      </c>
      <c r="J90" s="164">
        <f t="shared" si="21"/>
        <v>0</v>
      </c>
      <c r="K90" s="164">
        <f t="shared" si="21"/>
        <v>0</v>
      </c>
      <c r="L90" s="164">
        <f t="shared" si="21"/>
        <v>0</v>
      </c>
      <c r="M90" s="164">
        <f t="shared" si="21"/>
        <v>0</v>
      </c>
      <c r="N90" s="164">
        <f t="shared" si="21"/>
        <v>0</v>
      </c>
      <c r="O90" s="164">
        <f t="shared" si="21"/>
        <v>0</v>
      </c>
      <c r="P90" s="164">
        <f t="shared" si="21"/>
        <v>89510.26699999999</v>
      </c>
      <c r="Q90" s="164">
        <f t="shared" si="21"/>
        <v>304872.98400000005</v>
      </c>
      <c r="R90" s="164">
        <f t="shared" si="21"/>
        <v>116411.296</v>
      </c>
      <c r="S90" s="164">
        <f t="shared" si="21"/>
        <v>144021.14700000003</v>
      </c>
      <c r="T90" s="164">
        <f>T86*T12%</f>
        <v>0</v>
      </c>
      <c r="U90" s="164">
        <f>U86*U12%</f>
        <v>0</v>
      </c>
      <c r="V90" s="164">
        <f t="shared" si="21"/>
        <v>0</v>
      </c>
      <c r="W90" s="164">
        <f t="shared" si="21"/>
        <v>0</v>
      </c>
      <c r="X90" s="164">
        <f t="shared" si="21"/>
        <v>0</v>
      </c>
      <c r="Y90" s="164">
        <f t="shared" si="21"/>
        <v>0</v>
      </c>
      <c r="Z90" s="164">
        <f t="shared" si="21"/>
        <v>127428.21</v>
      </c>
      <c r="AA90" s="164">
        <f t="shared" si="21"/>
        <v>90579.516</v>
      </c>
      <c r="AB90" s="164">
        <f t="shared" si="21"/>
        <v>0</v>
      </c>
      <c r="AC90" s="164">
        <f t="shared" si="21"/>
        <v>0</v>
      </c>
      <c r="AD90" s="164">
        <f t="shared" si="21"/>
        <v>0</v>
      </c>
      <c r="AE90" s="164">
        <f t="shared" si="21"/>
        <v>0</v>
      </c>
      <c r="AF90" s="164">
        <f t="shared" si="21"/>
        <v>30864.288</v>
      </c>
      <c r="AG90" s="164">
        <f t="shared" si="21"/>
        <v>4774.658</v>
      </c>
      <c r="AH90" s="164">
        <f>AH86*AH12%</f>
        <v>2432715.957</v>
      </c>
      <c r="AI90" s="164">
        <f>AI86*AI12%</f>
        <v>1355670.54</v>
      </c>
      <c r="AJ90" s="164">
        <f>AJ86*AJ12%</f>
        <v>471119.04</v>
      </c>
      <c r="AK90" s="164">
        <f>AK86*AK12%</f>
        <v>105140.66500000001</v>
      </c>
      <c r="AL90" s="164">
        <f t="shared" si="21"/>
        <v>2028.4080000000001</v>
      </c>
      <c r="AM90" s="164">
        <f t="shared" si="21"/>
        <v>310.305</v>
      </c>
      <c r="AN90" s="164">
        <f t="shared" si="21"/>
        <v>0</v>
      </c>
      <c r="AO90" s="164">
        <f>AO86*AO12%</f>
        <v>0</v>
      </c>
      <c r="AP90" s="164">
        <f t="shared" si="21"/>
        <v>0</v>
      </c>
      <c r="AQ90" s="164">
        <f t="shared" si="21"/>
        <v>0</v>
      </c>
      <c r="AR90" s="164">
        <f t="shared" si="21"/>
        <v>410317.656</v>
      </c>
      <c r="AS90" s="164"/>
      <c r="AT90" s="164">
        <f t="shared" si="19"/>
        <v>5888659.758</v>
      </c>
      <c r="AU90" s="164"/>
      <c r="AV90" s="19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</row>
    <row r="91" spans="1:161" ht="12.75" customHeight="1">
      <c r="A91" s="164" t="str">
        <f t="shared" si="17"/>
        <v>Óskráð verðbréf með föst. tekjum (%)</v>
      </c>
      <c r="B91" s="384"/>
      <c r="C91" s="164">
        <f aca="true" t="shared" si="22" ref="C91:AR91">C86*C13%</f>
        <v>79353.558</v>
      </c>
      <c r="D91" s="164">
        <f t="shared" si="22"/>
        <v>33316.58</v>
      </c>
      <c r="E91" s="164">
        <f t="shared" si="22"/>
        <v>0</v>
      </c>
      <c r="F91" s="164">
        <f t="shared" si="22"/>
        <v>101049.312</v>
      </c>
      <c r="G91" s="164">
        <f t="shared" si="22"/>
        <v>0</v>
      </c>
      <c r="H91" s="164">
        <f t="shared" si="22"/>
        <v>0</v>
      </c>
      <c r="I91" s="164">
        <f t="shared" si="22"/>
        <v>0</v>
      </c>
      <c r="J91" s="164">
        <f t="shared" si="22"/>
        <v>0</v>
      </c>
      <c r="K91" s="164">
        <f t="shared" si="22"/>
        <v>0</v>
      </c>
      <c r="L91" s="164">
        <f t="shared" si="22"/>
        <v>0</v>
      </c>
      <c r="M91" s="164">
        <f t="shared" si="22"/>
        <v>0</v>
      </c>
      <c r="N91" s="164">
        <f t="shared" si="22"/>
        <v>0</v>
      </c>
      <c r="O91" s="164">
        <f t="shared" si="22"/>
        <v>0</v>
      </c>
      <c r="P91" s="164">
        <f t="shared" si="22"/>
        <v>358041.06799999997</v>
      </c>
      <c r="Q91" s="164">
        <f t="shared" si="22"/>
        <v>1050118.056</v>
      </c>
      <c r="R91" s="164">
        <f t="shared" si="22"/>
        <v>90946.32500000001</v>
      </c>
      <c r="S91" s="164">
        <f t="shared" si="22"/>
        <v>25047.156</v>
      </c>
      <c r="T91" s="164">
        <f>T86*T13%</f>
        <v>0</v>
      </c>
      <c r="U91" s="164">
        <f>U86*U13%</f>
        <v>0</v>
      </c>
      <c r="V91" s="164">
        <f t="shared" si="22"/>
        <v>0</v>
      </c>
      <c r="W91" s="164">
        <f t="shared" si="22"/>
        <v>32332.68</v>
      </c>
      <c r="X91" s="164">
        <f t="shared" si="22"/>
        <v>4536.33</v>
      </c>
      <c r="Y91" s="164">
        <f t="shared" si="22"/>
        <v>20990.64</v>
      </c>
      <c r="Z91" s="164">
        <f t="shared" si="22"/>
        <v>34385.39</v>
      </c>
      <c r="AA91" s="164">
        <f t="shared" si="22"/>
        <v>588766.854</v>
      </c>
      <c r="AB91" s="164">
        <f t="shared" si="22"/>
        <v>34010.812000000005</v>
      </c>
      <c r="AC91" s="164">
        <f t="shared" si="22"/>
        <v>472216.208</v>
      </c>
      <c r="AD91" s="164">
        <f t="shared" si="22"/>
        <v>0</v>
      </c>
      <c r="AE91" s="164">
        <f t="shared" si="22"/>
        <v>0</v>
      </c>
      <c r="AF91" s="164">
        <f t="shared" si="22"/>
        <v>0</v>
      </c>
      <c r="AG91" s="164">
        <f t="shared" si="22"/>
        <v>0</v>
      </c>
      <c r="AH91" s="164">
        <f>AH86*AH13%</f>
        <v>364319.781</v>
      </c>
      <c r="AI91" s="164">
        <f>AI86*AI13%</f>
        <v>263602.60500000004</v>
      </c>
      <c r="AJ91" s="164">
        <f>AJ86*AJ13%</f>
        <v>308844.704</v>
      </c>
      <c r="AK91" s="164">
        <f>AK86*AK13%</f>
        <v>159213.00699999998</v>
      </c>
      <c r="AL91" s="164">
        <f t="shared" si="22"/>
        <v>0</v>
      </c>
      <c r="AM91" s="164">
        <f t="shared" si="22"/>
        <v>0</v>
      </c>
      <c r="AN91" s="164">
        <f t="shared" si="22"/>
        <v>0</v>
      </c>
      <c r="AO91" s="164">
        <f>AO86*AO13%</f>
        <v>0</v>
      </c>
      <c r="AP91" s="164">
        <f t="shared" si="22"/>
        <v>0</v>
      </c>
      <c r="AQ91" s="164">
        <f t="shared" si="22"/>
        <v>0</v>
      </c>
      <c r="AR91" s="164">
        <f t="shared" si="22"/>
        <v>70828.643</v>
      </c>
      <c r="AS91" s="164"/>
      <c r="AT91" s="164">
        <f t="shared" si="19"/>
        <v>4091919.709</v>
      </c>
      <c r="AU91" s="164"/>
      <c r="AV91" s="19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</row>
    <row r="92" spans="1:161" ht="12.75" customHeight="1">
      <c r="A92" s="164" t="str">
        <f t="shared" si="17"/>
        <v>Veðlán (%)</v>
      </c>
      <c r="B92" s="384"/>
      <c r="C92" s="164">
        <f aca="true" t="shared" si="23" ref="C92:AR92">C86*C14%</f>
        <v>0</v>
      </c>
      <c r="D92" s="164">
        <f t="shared" si="23"/>
        <v>0</v>
      </c>
      <c r="E92" s="164">
        <f t="shared" si="23"/>
        <v>0</v>
      </c>
      <c r="F92" s="164">
        <f t="shared" si="23"/>
        <v>852603.5700000001</v>
      </c>
      <c r="G92" s="164">
        <f t="shared" si="23"/>
        <v>0</v>
      </c>
      <c r="H92" s="164">
        <f t="shared" si="23"/>
        <v>0</v>
      </c>
      <c r="I92" s="164">
        <f t="shared" si="23"/>
        <v>0</v>
      </c>
      <c r="J92" s="164">
        <f t="shared" si="23"/>
        <v>2671.284</v>
      </c>
      <c r="K92" s="164">
        <f t="shared" si="23"/>
        <v>10184.806</v>
      </c>
      <c r="L92" s="164">
        <f t="shared" si="23"/>
        <v>5491.0199999999995</v>
      </c>
      <c r="M92" s="164">
        <f t="shared" si="23"/>
        <v>365.338</v>
      </c>
      <c r="N92" s="164">
        <f t="shared" si="23"/>
        <v>16356.644999999999</v>
      </c>
      <c r="O92" s="164">
        <f t="shared" si="23"/>
        <v>178453.53699999998</v>
      </c>
      <c r="P92" s="164">
        <f t="shared" si="23"/>
        <v>792805.222</v>
      </c>
      <c r="Q92" s="164">
        <f t="shared" si="23"/>
        <v>4268221.776</v>
      </c>
      <c r="R92" s="164">
        <f t="shared" si="23"/>
        <v>283752.534</v>
      </c>
      <c r="S92" s="164">
        <f t="shared" si="23"/>
        <v>0</v>
      </c>
      <c r="T92" s="164">
        <f>T86*T14%</f>
        <v>0</v>
      </c>
      <c r="U92" s="164">
        <f>U86*U14%</f>
        <v>0</v>
      </c>
      <c r="V92" s="164">
        <f t="shared" si="23"/>
        <v>0</v>
      </c>
      <c r="W92" s="164">
        <f t="shared" si="23"/>
        <v>468823.86</v>
      </c>
      <c r="X92" s="164">
        <f t="shared" si="23"/>
        <v>65474.363</v>
      </c>
      <c r="Y92" s="164">
        <f t="shared" si="23"/>
        <v>0</v>
      </c>
      <c r="Z92" s="164">
        <f t="shared" si="23"/>
        <v>269015.11</v>
      </c>
      <c r="AA92" s="164">
        <f t="shared" si="23"/>
        <v>543477.096</v>
      </c>
      <c r="AB92" s="164">
        <f t="shared" si="23"/>
        <v>0</v>
      </c>
      <c r="AC92" s="164">
        <f t="shared" si="23"/>
        <v>0</v>
      </c>
      <c r="AD92" s="164">
        <f t="shared" si="23"/>
        <v>0</v>
      </c>
      <c r="AE92" s="164">
        <f t="shared" si="23"/>
        <v>0</v>
      </c>
      <c r="AF92" s="164">
        <f t="shared" si="23"/>
        <v>0</v>
      </c>
      <c r="AG92" s="164">
        <f t="shared" si="23"/>
        <v>0</v>
      </c>
      <c r="AH92" s="164">
        <f>AH86*AH14%</f>
        <v>0</v>
      </c>
      <c r="AI92" s="164">
        <f>AI86*AI14%</f>
        <v>0</v>
      </c>
      <c r="AJ92" s="164">
        <f>AJ86*AJ14%</f>
        <v>0</v>
      </c>
      <c r="AK92" s="164">
        <f>AK86*AK14%</f>
        <v>0</v>
      </c>
      <c r="AL92" s="164">
        <f t="shared" si="23"/>
        <v>0</v>
      </c>
      <c r="AM92" s="164">
        <f t="shared" si="23"/>
        <v>0</v>
      </c>
      <c r="AN92" s="164">
        <f t="shared" si="23"/>
        <v>0</v>
      </c>
      <c r="AO92" s="164">
        <f>AO86*AO14%</f>
        <v>0</v>
      </c>
      <c r="AP92" s="164">
        <f t="shared" si="23"/>
        <v>0</v>
      </c>
      <c r="AQ92" s="164">
        <f t="shared" si="23"/>
        <v>0</v>
      </c>
      <c r="AR92" s="164">
        <f t="shared" si="23"/>
        <v>61059.175</v>
      </c>
      <c r="AS92" s="164"/>
      <c r="AT92" s="164">
        <f t="shared" si="19"/>
        <v>7818755.335999999</v>
      </c>
      <c r="AU92" s="164"/>
      <c r="AV92" s="19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</row>
    <row r="93" spans="1:48" ht="12.75" customHeight="1">
      <c r="A93" s="164" t="str">
        <f t="shared" si="17"/>
        <v>Annað (%)</v>
      </c>
      <c r="B93" s="384"/>
      <c r="C93" s="164">
        <f aca="true" t="shared" si="24" ref="C93:AR93">C86*C15%</f>
        <v>0</v>
      </c>
      <c r="D93" s="164">
        <f t="shared" si="24"/>
        <v>0</v>
      </c>
      <c r="E93" s="164">
        <f t="shared" si="24"/>
        <v>537501</v>
      </c>
      <c r="F93" s="164">
        <f t="shared" si="24"/>
        <v>0</v>
      </c>
      <c r="G93" s="164">
        <f t="shared" si="24"/>
        <v>0</v>
      </c>
      <c r="H93" s="164">
        <f t="shared" si="24"/>
        <v>0</v>
      </c>
      <c r="I93" s="164">
        <f t="shared" si="24"/>
        <v>21720</v>
      </c>
      <c r="J93" s="164">
        <f t="shared" si="24"/>
        <v>0</v>
      </c>
      <c r="K93" s="164">
        <f t="shared" si="24"/>
        <v>0</v>
      </c>
      <c r="L93" s="164">
        <f t="shared" si="24"/>
        <v>0</v>
      </c>
      <c r="M93" s="164">
        <f t="shared" si="24"/>
        <v>0</v>
      </c>
      <c r="N93" s="164">
        <f t="shared" si="24"/>
        <v>0</v>
      </c>
      <c r="O93" s="164">
        <f t="shared" si="24"/>
        <v>0</v>
      </c>
      <c r="P93" s="164">
        <f t="shared" si="24"/>
        <v>0</v>
      </c>
      <c r="Q93" s="164">
        <f t="shared" si="24"/>
        <v>0</v>
      </c>
      <c r="R93" s="164">
        <f t="shared" si="24"/>
        <v>0</v>
      </c>
      <c r="S93" s="164">
        <f t="shared" si="24"/>
        <v>0</v>
      </c>
      <c r="T93" s="164">
        <f>T86*T15%</f>
        <v>0</v>
      </c>
      <c r="U93" s="164">
        <f>U86*U15%</f>
        <v>0</v>
      </c>
      <c r="V93" s="164">
        <f t="shared" si="24"/>
        <v>13241</v>
      </c>
      <c r="W93" s="164">
        <f t="shared" si="24"/>
        <v>0</v>
      </c>
      <c r="X93" s="164">
        <f t="shared" si="24"/>
        <v>0</v>
      </c>
      <c r="Y93" s="164">
        <f t="shared" si="24"/>
        <v>0</v>
      </c>
      <c r="Z93" s="164">
        <f t="shared" si="24"/>
        <v>54612.090000000004</v>
      </c>
      <c r="AA93" s="164">
        <f t="shared" si="24"/>
        <v>0</v>
      </c>
      <c r="AB93" s="164">
        <f t="shared" si="24"/>
        <v>0</v>
      </c>
      <c r="AC93" s="164">
        <f t="shared" si="24"/>
        <v>0</v>
      </c>
      <c r="AD93" s="164">
        <f t="shared" si="24"/>
        <v>0</v>
      </c>
      <c r="AE93" s="164">
        <f t="shared" si="24"/>
        <v>0</v>
      </c>
      <c r="AF93" s="164">
        <f t="shared" si="24"/>
        <v>0</v>
      </c>
      <c r="AG93" s="164">
        <f t="shared" si="24"/>
        <v>0</v>
      </c>
      <c r="AH93" s="164">
        <f>AH86*AH15%</f>
        <v>0</v>
      </c>
      <c r="AI93" s="164">
        <f>AI86*AI15%</f>
        <v>0</v>
      </c>
      <c r="AJ93" s="164">
        <f>AJ86*AJ15%</f>
        <v>0</v>
      </c>
      <c r="AK93" s="164">
        <f>AK86*AK15%</f>
        <v>90120.56999999999</v>
      </c>
      <c r="AL93" s="164">
        <f t="shared" si="24"/>
        <v>0</v>
      </c>
      <c r="AM93" s="164">
        <f t="shared" si="24"/>
        <v>0</v>
      </c>
      <c r="AN93" s="164">
        <f t="shared" si="24"/>
        <v>53830</v>
      </c>
      <c r="AO93" s="164">
        <f>AO86*AO15%</f>
        <v>0</v>
      </c>
      <c r="AP93" s="164">
        <f t="shared" si="24"/>
        <v>0</v>
      </c>
      <c r="AQ93" s="164">
        <f t="shared" si="24"/>
        <v>0</v>
      </c>
      <c r="AR93" s="164">
        <f t="shared" si="24"/>
        <v>0</v>
      </c>
      <c r="AS93" s="164"/>
      <c r="AT93" s="164">
        <f t="shared" si="19"/>
        <v>771024.6599999999</v>
      </c>
      <c r="AU93" s="164"/>
      <c r="AV93" s="25"/>
    </row>
    <row r="94" spans="1:48" ht="12.75" customHeight="1">
      <c r="A94" s="164" t="str">
        <f t="shared" si="17"/>
        <v>          Samtals:                                       </v>
      </c>
      <c r="B94" s="388"/>
      <c r="C94" s="164">
        <f aca="true" t="shared" si="25" ref="C94:AR94">SUM(C88:C93)</f>
        <v>4408531</v>
      </c>
      <c r="D94" s="164">
        <f t="shared" si="25"/>
        <v>1514389.9999999998</v>
      </c>
      <c r="E94" s="164">
        <f t="shared" si="25"/>
        <v>537501</v>
      </c>
      <c r="F94" s="164">
        <f t="shared" si="25"/>
        <v>6315582</v>
      </c>
      <c r="G94" s="164">
        <f t="shared" si="25"/>
        <v>684684</v>
      </c>
      <c r="H94" s="164">
        <f t="shared" si="25"/>
        <v>969835</v>
      </c>
      <c r="I94" s="164">
        <f t="shared" si="25"/>
        <v>21720</v>
      </c>
      <c r="J94" s="164">
        <f t="shared" si="25"/>
        <v>80947.99999999999</v>
      </c>
      <c r="K94" s="164">
        <f t="shared" si="25"/>
        <v>216698</v>
      </c>
      <c r="L94" s="164">
        <f t="shared" si="25"/>
        <v>91517</v>
      </c>
      <c r="M94" s="164">
        <f t="shared" si="25"/>
        <v>4936.999999999999</v>
      </c>
      <c r="N94" s="164">
        <f t="shared" si="25"/>
        <v>363481</v>
      </c>
      <c r="O94" s="164">
        <f t="shared" si="25"/>
        <v>2444569</v>
      </c>
      <c r="P94" s="164">
        <f t="shared" si="25"/>
        <v>12787181</v>
      </c>
      <c r="Q94" s="164">
        <f t="shared" si="25"/>
        <v>33874776</v>
      </c>
      <c r="R94" s="164">
        <f t="shared" si="25"/>
        <v>3637853.0000000005</v>
      </c>
      <c r="S94" s="164">
        <f t="shared" si="25"/>
        <v>2087263.0000000002</v>
      </c>
      <c r="T94" s="164">
        <f>SUM(T88:T93)</f>
        <v>637082</v>
      </c>
      <c r="U94" s="164">
        <f>SUM(U88:U93)</f>
        <v>1944703.9999999998</v>
      </c>
      <c r="V94" s="164">
        <f t="shared" si="25"/>
        <v>13241</v>
      </c>
      <c r="W94" s="164">
        <f t="shared" si="25"/>
        <v>808317</v>
      </c>
      <c r="X94" s="164">
        <f t="shared" si="25"/>
        <v>151211</v>
      </c>
      <c r="Y94" s="164">
        <f t="shared" si="25"/>
        <v>95411.99999999999</v>
      </c>
      <c r="Z94" s="164">
        <f t="shared" si="25"/>
        <v>2022670.0000000002</v>
      </c>
      <c r="AA94" s="164">
        <f t="shared" si="25"/>
        <v>45289758.00000001</v>
      </c>
      <c r="AB94" s="164">
        <f t="shared" si="25"/>
        <v>3091892</v>
      </c>
      <c r="AC94" s="164">
        <f t="shared" si="25"/>
        <v>4675407.999999999</v>
      </c>
      <c r="AD94" s="164">
        <f t="shared" si="25"/>
        <v>385230</v>
      </c>
      <c r="AE94" s="164">
        <f t="shared" si="25"/>
        <v>125826</v>
      </c>
      <c r="AF94" s="164">
        <f t="shared" si="25"/>
        <v>1929018.0000000002</v>
      </c>
      <c r="AG94" s="164">
        <f t="shared" si="25"/>
        <v>97441.99999999999</v>
      </c>
      <c r="AH94" s="164">
        <f>SUM(AH88:AH93)</f>
        <v>11752251</v>
      </c>
      <c r="AI94" s="164">
        <f>SUM(AI88:AI93)</f>
        <v>7531503.000000001</v>
      </c>
      <c r="AJ94" s="164">
        <f>SUM(AJ88:AJ93)</f>
        <v>5234656</v>
      </c>
      <c r="AK94" s="164">
        <f>SUM(AK88:AK93)</f>
        <v>3004018.9999999995</v>
      </c>
      <c r="AL94" s="164">
        <f t="shared" si="25"/>
        <v>676136</v>
      </c>
      <c r="AM94" s="164">
        <f t="shared" si="25"/>
        <v>103435</v>
      </c>
      <c r="AN94" s="164">
        <f t="shared" si="25"/>
        <v>53830</v>
      </c>
      <c r="AO94" s="164">
        <f>SUM(AO88:AO93)</f>
        <v>360614</v>
      </c>
      <c r="AP94" s="164">
        <f t="shared" si="25"/>
        <v>40415</v>
      </c>
      <c r="AQ94" s="164">
        <f t="shared" si="25"/>
        <v>138238</v>
      </c>
      <c r="AR94" s="164">
        <f t="shared" si="25"/>
        <v>2442367</v>
      </c>
      <c r="AS94" s="164"/>
      <c r="AT94" s="164">
        <f>SUM(AT88:AT93)</f>
        <v>162646140.99999997</v>
      </c>
      <c r="AU94" s="164"/>
      <c r="AV94" s="25"/>
    </row>
    <row r="95" spans="1:48" ht="12.75" customHeight="1">
      <c r="A95" s="167"/>
      <c r="B95" s="388"/>
      <c r="C95" s="340">
        <f aca="true" t="shared" si="26" ref="C95:AR95">+C94-C86</f>
        <v>0</v>
      </c>
      <c r="D95" s="340">
        <f t="shared" si="26"/>
        <v>0</v>
      </c>
      <c r="E95" s="340">
        <f t="shared" si="26"/>
        <v>0</v>
      </c>
      <c r="F95" s="340">
        <f t="shared" si="26"/>
        <v>0</v>
      </c>
      <c r="G95" s="340">
        <f t="shared" si="26"/>
        <v>0</v>
      </c>
      <c r="H95" s="340">
        <f t="shared" si="26"/>
        <v>0</v>
      </c>
      <c r="I95" s="340">
        <f t="shared" si="26"/>
        <v>0</v>
      </c>
      <c r="J95" s="340">
        <f t="shared" si="26"/>
        <v>0</v>
      </c>
      <c r="K95" s="340">
        <f t="shared" si="26"/>
        <v>0</v>
      </c>
      <c r="L95" s="340">
        <f t="shared" si="26"/>
        <v>0</v>
      </c>
      <c r="M95" s="340">
        <f t="shared" si="26"/>
        <v>0</v>
      </c>
      <c r="N95" s="340">
        <f t="shared" si="26"/>
        <v>0</v>
      </c>
      <c r="O95" s="340">
        <f t="shared" si="26"/>
        <v>0</v>
      </c>
      <c r="P95" s="340">
        <f t="shared" si="26"/>
        <v>0</v>
      </c>
      <c r="Q95" s="340">
        <f t="shared" si="26"/>
        <v>0</v>
      </c>
      <c r="R95" s="340">
        <f t="shared" si="26"/>
        <v>0</v>
      </c>
      <c r="S95" s="340">
        <f t="shared" si="26"/>
        <v>0</v>
      </c>
      <c r="T95" s="340">
        <f>+T94-T86</f>
        <v>0</v>
      </c>
      <c r="U95" s="340">
        <f>+U94-U86</f>
        <v>0</v>
      </c>
      <c r="V95" s="340">
        <f t="shared" si="26"/>
        <v>0</v>
      </c>
      <c r="W95" s="340">
        <f t="shared" si="26"/>
        <v>0</v>
      </c>
      <c r="X95" s="340">
        <f t="shared" si="26"/>
        <v>0</v>
      </c>
      <c r="Y95" s="340">
        <f t="shared" si="26"/>
        <v>0</v>
      </c>
      <c r="Z95" s="340">
        <f t="shared" si="26"/>
        <v>0</v>
      </c>
      <c r="AA95" s="340">
        <f t="shared" si="26"/>
        <v>0</v>
      </c>
      <c r="AB95" s="340">
        <f t="shared" si="26"/>
        <v>0</v>
      </c>
      <c r="AC95" s="340">
        <f t="shared" si="26"/>
        <v>0</v>
      </c>
      <c r="AD95" s="340">
        <f t="shared" si="26"/>
        <v>0</v>
      </c>
      <c r="AE95" s="340">
        <f t="shared" si="26"/>
        <v>0</v>
      </c>
      <c r="AF95" s="340">
        <f t="shared" si="26"/>
        <v>0</v>
      </c>
      <c r="AG95" s="340">
        <f t="shared" si="26"/>
        <v>0</v>
      </c>
      <c r="AH95" s="340">
        <f>+AH94-AH86</f>
        <v>0</v>
      </c>
      <c r="AI95" s="340">
        <f>+AI94-AI86</f>
        <v>0</v>
      </c>
      <c r="AJ95" s="340">
        <f>+AJ94-AJ86</f>
        <v>0</v>
      </c>
      <c r="AK95" s="340">
        <f>+AK94-AK86</f>
        <v>0</v>
      </c>
      <c r="AL95" s="340">
        <f t="shared" si="26"/>
        <v>0</v>
      </c>
      <c r="AM95" s="340">
        <f t="shared" si="26"/>
        <v>0</v>
      </c>
      <c r="AN95" s="340">
        <f t="shared" si="26"/>
        <v>0</v>
      </c>
      <c r="AO95" s="340">
        <f>+AO94-AO86</f>
        <v>0</v>
      </c>
      <c r="AP95" s="340">
        <f t="shared" si="26"/>
        <v>0</v>
      </c>
      <c r="AQ95" s="340">
        <f t="shared" si="26"/>
        <v>0</v>
      </c>
      <c r="AR95" s="340">
        <f t="shared" si="26"/>
        <v>0</v>
      </c>
      <c r="AS95" s="340"/>
      <c r="AT95" s="340">
        <f>+AT94-'5.1. Séreignard.'!AT86</f>
        <v>0</v>
      </c>
      <c r="AU95" s="340"/>
      <c r="AV95" s="25"/>
    </row>
    <row r="96" spans="1:48" ht="12.75" customHeight="1" thickBot="1">
      <c r="A96" s="292"/>
      <c r="B96" s="380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2"/>
      <c r="W96" s="382"/>
      <c r="X96" s="389"/>
      <c r="Y96" s="389"/>
      <c r="Z96" s="389"/>
      <c r="AA96" s="389"/>
      <c r="AB96" s="389"/>
      <c r="AC96" s="389"/>
      <c r="AD96" s="389"/>
      <c r="AE96" s="389"/>
      <c r="AF96" s="389"/>
      <c r="AG96" s="389"/>
      <c r="AH96" s="389"/>
      <c r="AI96" s="389"/>
      <c r="AJ96" s="389"/>
      <c r="AK96" s="389"/>
      <c r="AL96" s="389"/>
      <c r="AM96" s="389"/>
      <c r="AN96" s="389"/>
      <c r="AO96" s="389"/>
      <c r="AP96" s="389"/>
      <c r="AQ96" s="389"/>
      <c r="AR96" s="389"/>
      <c r="AS96" s="383"/>
      <c r="AT96" s="382"/>
      <c r="AU96" s="164"/>
      <c r="AV96" s="25"/>
    </row>
    <row r="97" spans="1:48" ht="12.75" customHeight="1">
      <c r="A97" s="194" t="s">
        <v>221</v>
      </c>
      <c r="B97" s="38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385"/>
      <c r="AT97" s="164"/>
      <c r="AU97" s="164"/>
      <c r="AV97" s="25"/>
    </row>
    <row r="98" spans="1:48" ht="12.75" customHeight="1">
      <c r="A98" s="164" t="str">
        <f>+A18</f>
        <v>Eignir í ísl. kr. (%)</v>
      </c>
      <c r="B98" s="384"/>
      <c r="C98" s="164">
        <f aca="true" t="shared" si="27" ref="C98:AR98">+C86*C18%</f>
        <v>3072746.1070000003</v>
      </c>
      <c r="D98" s="164">
        <f t="shared" si="27"/>
        <v>1252400.53</v>
      </c>
      <c r="E98" s="164">
        <f t="shared" si="27"/>
        <v>537501</v>
      </c>
      <c r="F98" s="164">
        <f t="shared" si="27"/>
        <v>4269333.432</v>
      </c>
      <c r="G98" s="164">
        <f t="shared" si="27"/>
        <v>506666.16</v>
      </c>
      <c r="H98" s="164">
        <f t="shared" si="27"/>
        <v>795264.7</v>
      </c>
      <c r="I98" s="164">
        <f t="shared" si="27"/>
        <v>21720</v>
      </c>
      <c r="J98" s="164">
        <f t="shared" si="27"/>
        <v>56663.6</v>
      </c>
      <c r="K98" s="164">
        <f t="shared" si="27"/>
        <v>173358.40000000002</v>
      </c>
      <c r="L98" s="164">
        <f t="shared" si="27"/>
        <v>84653.225</v>
      </c>
      <c r="M98" s="164">
        <f t="shared" si="27"/>
        <v>4937</v>
      </c>
      <c r="N98" s="164">
        <f t="shared" si="27"/>
        <v>272610.75</v>
      </c>
      <c r="O98" s="164">
        <f t="shared" si="27"/>
        <v>2444569</v>
      </c>
      <c r="P98" s="164">
        <f t="shared" si="27"/>
        <v>7685095.7809999995</v>
      </c>
      <c r="Q98" s="164">
        <f t="shared" si="27"/>
        <v>22458976.487999998</v>
      </c>
      <c r="R98" s="164">
        <f t="shared" si="27"/>
        <v>3175845.6689999998</v>
      </c>
      <c r="S98" s="164">
        <f t="shared" si="27"/>
        <v>2083088.474</v>
      </c>
      <c r="T98" s="164">
        <f>+T86*T18%</f>
        <v>93013.972</v>
      </c>
      <c r="U98" s="164">
        <f>+U86*U18%</f>
        <v>587300.608</v>
      </c>
      <c r="V98" s="164">
        <f t="shared" si="27"/>
        <v>13241</v>
      </c>
      <c r="W98" s="164">
        <f t="shared" si="27"/>
        <v>808317</v>
      </c>
      <c r="X98" s="164">
        <f t="shared" si="27"/>
        <v>148186.78</v>
      </c>
      <c r="Y98" s="164">
        <f t="shared" si="27"/>
        <v>93503.76</v>
      </c>
      <c r="Z98" s="164">
        <f t="shared" si="27"/>
        <v>1545319.8800000001</v>
      </c>
      <c r="AA98" s="164">
        <f t="shared" si="27"/>
        <v>30570586.650000002</v>
      </c>
      <c r="AB98" s="164">
        <f t="shared" si="27"/>
        <v>2727048.744</v>
      </c>
      <c r="AC98" s="164">
        <f t="shared" si="27"/>
        <v>4675408</v>
      </c>
      <c r="AD98" s="164">
        <f t="shared" si="27"/>
        <v>307413.54</v>
      </c>
      <c r="AE98" s="164">
        <f t="shared" si="27"/>
        <v>100283.322</v>
      </c>
      <c r="AF98" s="164">
        <f t="shared" si="27"/>
        <v>1929018</v>
      </c>
      <c r="AG98" s="164">
        <f t="shared" si="27"/>
        <v>71424.986</v>
      </c>
      <c r="AH98" s="164">
        <f>+AH86*AH18%</f>
        <v>7509688.389</v>
      </c>
      <c r="AI98" s="164">
        <f>+AI86*AI18%</f>
        <v>5626032.741</v>
      </c>
      <c r="AJ98" s="164">
        <f>+AJ86*AJ18%</f>
        <v>4616966.592</v>
      </c>
      <c r="AK98" s="164">
        <f>+AK86*AK18%</f>
        <v>3004019</v>
      </c>
      <c r="AL98" s="164">
        <f t="shared" si="27"/>
        <v>676136</v>
      </c>
      <c r="AM98" s="164">
        <f t="shared" si="27"/>
        <v>103435</v>
      </c>
      <c r="AN98" s="164">
        <f t="shared" si="27"/>
        <v>53830</v>
      </c>
      <c r="AO98" s="164">
        <f>+AO86*AO18%</f>
        <v>345468.212</v>
      </c>
      <c r="AP98" s="164">
        <f t="shared" si="27"/>
        <v>28290.5</v>
      </c>
      <c r="AQ98" s="164">
        <f t="shared" si="27"/>
        <v>82942.8</v>
      </c>
      <c r="AR98" s="164">
        <f t="shared" si="27"/>
        <v>1712099.267</v>
      </c>
      <c r="AS98" s="164"/>
      <c r="AT98" s="164">
        <f>SUM(C98:AR98)</f>
        <v>116324405.059</v>
      </c>
      <c r="AU98" s="164"/>
      <c r="AV98" s="25"/>
    </row>
    <row r="99" spans="1:48" ht="12.75" customHeight="1">
      <c r="A99" s="164" t="str">
        <f>+A19</f>
        <v>Eignir í erl. gjaldmiðlum (%)</v>
      </c>
      <c r="B99" s="384"/>
      <c r="C99" s="164">
        <f aca="true" t="shared" si="28" ref="C99:AR99">+C86*C19%</f>
        <v>1335784.893</v>
      </c>
      <c r="D99" s="164">
        <f t="shared" si="28"/>
        <v>261989.47000000003</v>
      </c>
      <c r="E99" s="164">
        <f t="shared" si="28"/>
        <v>0</v>
      </c>
      <c r="F99" s="164">
        <f t="shared" si="28"/>
        <v>2046248.568</v>
      </c>
      <c r="G99" s="164">
        <f t="shared" si="28"/>
        <v>178017.84</v>
      </c>
      <c r="H99" s="164">
        <f t="shared" si="28"/>
        <v>174570.3</v>
      </c>
      <c r="I99" s="164">
        <f t="shared" si="28"/>
        <v>0</v>
      </c>
      <c r="J99" s="164">
        <f t="shared" si="28"/>
        <v>24284.399999999998</v>
      </c>
      <c r="K99" s="164">
        <f t="shared" si="28"/>
        <v>43339.600000000006</v>
      </c>
      <c r="L99" s="164">
        <f t="shared" si="28"/>
        <v>6863.775</v>
      </c>
      <c r="M99" s="164">
        <f t="shared" si="28"/>
        <v>0</v>
      </c>
      <c r="N99" s="164">
        <f t="shared" si="28"/>
        <v>90870.25</v>
      </c>
      <c r="O99" s="164">
        <f t="shared" si="28"/>
        <v>0</v>
      </c>
      <c r="P99" s="164">
        <f t="shared" si="28"/>
        <v>5102085.219</v>
      </c>
      <c r="Q99" s="164">
        <f t="shared" si="28"/>
        <v>11415799.512</v>
      </c>
      <c r="R99" s="164">
        <f t="shared" si="28"/>
        <v>462007.331</v>
      </c>
      <c r="S99" s="164">
        <f t="shared" si="28"/>
        <v>4174.526</v>
      </c>
      <c r="T99" s="164">
        <f>+T86*T19%</f>
        <v>544068.028</v>
      </c>
      <c r="U99" s="164">
        <f>+U86*U19%</f>
        <v>1357403.392</v>
      </c>
      <c r="V99" s="164">
        <f t="shared" si="28"/>
        <v>0</v>
      </c>
      <c r="W99" s="164">
        <f t="shared" si="28"/>
        <v>0</v>
      </c>
      <c r="X99" s="164">
        <f t="shared" si="28"/>
        <v>3024.2200000000003</v>
      </c>
      <c r="Y99" s="164">
        <f t="shared" si="28"/>
        <v>1908.24</v>
      </c>
      <c r="Z99" s="164">
        <f t="shared" si="28"/>
        <v>477350.12000000005</v>
      </c>
      <c r="AA99" s="164">
        <f t="shared" si="28"/>
        <v>14719171.35</v>
      </c>
      <c r="AB99" s="164">
        <f t="shared" si="28"/>
        <v>364843.25600000005</v>
      </c>
      <c r="AC99" s="164">
        <f t="shared" si="28"/>
        <v>0</v>
      </c>
      <c r="AD99" s="164">
        <f t="shared" si="28"/>
        <v>77816.45999999999</v>
      </c>
      <c r="AE99" s="164">
        <f t="shared" si="28"/>
        <v>25542.678000000004</v>
      </c>
      <c r="AF99" s="164">
        <f t="shared" si="28"/>
        <v>0</v>
      </c>
      <c r="AG99" s="164">
        <f t="shared" si="28"/>
        <v>26017.014000000003</v>
      </c>
      <c r="AH99" s="164">
        <f>+AH86*AH19%</f>
        <v>4242562.611</v>
      </c>
      <c r="AI99" s="164">
        <f>+AI86*AI19%</f>
        <v>1905470.259</v>
      </c>
      <c r="AJ99" s="164">
        <f>+AJ86*AJ19%</f>
        <v>617689.408</v>
      </c>
      <c r="AK99" s="164">
        <f>+AK86*AK19%</f>
        <v>0</v>
      </c>
      <c r="AL99" s="164">
        <f t="shared" si="28"/>
        <v>0</v>
      </c>
      <c r="AM99" s="164">
        <f t="shared" si="28"/>
        <v>0</v>
      </c>
      <c r="AN99" s="164">
        <f t="shared" si="28"/>
        <v>0</v>
      </c>
      <c r="AO99" s="164">
        <f>+AO86*AO19%</f>
        <v>15145.788</v>
      </c>
      <c r="AP99" s="164">
        <f t="shared" si="28"/>
        <v>12124.5</v>
      </c>
      <c r="AQ99" s="164">
        <f t="shared" si="28"/>
        <v>55295.200000000004</v>
      </c>
      <c r="AR99" s="164">
        <f t="shared" si="28"/>
        <v>730267.733</v>
      </c>
      <c r="AS99" s="164"/>
      <c r="AT99" s="164">
        <f>SUM(C99:AR99)</f>
        <v>46321735.941000015</v>
      </c>
      <c r="AU99" s="164"/>
      <c r="AV99" s="25"/>
    </row>
    <row r="100" spans="1:48" ht="12.75" customHeight="1">
      <c r="A100" s="164" t="str">
        <f>+A20</f>
        <v>          Samtals:                                      </v>
      </c>
      <c r="B100" s="388"/>
      <c r="C100" s="164">
        <f aca="true" t="shared" si="29" ref="C100:AR100">SUM(C98:C99)</f>
        <v>4408531</v>
      </c>
      <c r="D100" s="164">
        <f t="shared" si="29"/>
        <v>1514390</v>
      </c>
      <c r="E100" s="164">
        <f t="shared" si="29"/>
        <v>537501</v>
      </c>
      <c r="F100" s="164">
        <f t="shared" si="29"/>
        <v>6315582</v>
      </c>
      <c r="G100" s="164">
        <f t="shared" si="29"/>
        <v>684684</v>
      </c>
      <c r="H100" s="164">
        <f t="shared" si="29"/>
        <v>969835</v>
      </c>
      <c r="I100" s="164">
        <f t="shared" si="29"/>
        <v>21720</v>
      </c>
      <c r="J100" s="164">
        <f t="shared" si="29"/>
        <v>80948</v>
      </c>
      <c r="K100" s="164">
        <f t="shared" si="29"/>
        <v>216698.00000000003</v>
      </c>
      <c r="L100" s="164">
        <f t="shared" si="29"/>
        <v>91517</v>
      </c>
      <c r="M100" s="164">
        <f t="shared" si="29"/>
        <v>4937</v>
      </c>
      <c r="N100" s="164">
        <f t="shared" si="29"/>
        <v>363481</v>
      </c>
      <c r="O100" s="164">
        <f t="shared" si="29"/>
        <v>2444569</v>
      </c>
      <c r="P100" s="164">
        <f t="shared" si="29"/>
        <v>12787181</v>
      </c>
      <c r="Q100" s="164">
        <f t="shared" si="29"/>
        <v>33874776</v>
      </c>
      <c r="R100" s="164">
        <f t="shared" si="29"/>
        <v>3637853</v>
      </c>
      <c r="S100" s="164">
        <f t="shared" si="29"/>
        <v>2087263</v>
      </c>
      <c r="T100" s="164">
        <f>SUM(T98:T99)</f>
        <v>637082</v>
      </c>
      <c r="U100" s="164">
        <f>SUM(U98:U99)</f>
        <v>1944704</v>
      </c>
      <c r="V100" s="164">
        <f t="shared" si="29"/>
        <v>13241</v>
      </c>
      <c r="W100" s="164">
        <f t="shared" si="29"/>
        <v>808317</v>
      </c>
      <c r="X100" s="164">
        <f t="shared" si="29"/>
        <v>151211</v>
      </c>
      <c r="Y100" s="164">
        <f t="shared" si="29"/>
        <v>95412</v>
      </c>
      <c r="Z100" s="164">
        <f t="shared" si="29"/>
        <v>2022670.0000000002</v>
      </c>
      <c r="AA100" s="164">
        <f t="shared" si="29"/>
        <v>45289758</v>
      </c>
      <c r="AB100" s="164">
        <f t="shared" si="29"/>
        <v>3091892</v>
      </c>
      <c r="AC100" s="164">
        <f t="shared" si="29"/>
        <v>4675408</v>
      </c>
      <c r="AD100" s="164">
        <f t="shared" si="29"/>
        <v>385230</v>
      </c>
      <c r="AE100" s="164">
        <f t="shared" si="29"/>
        <v>125826</v>
      </c>
      <c r="AF100" s="164">
        <f t="shared" si="29"/>
        <v>1929018</v>
      </c>
      <c r="AG100" s="164">
        <f t="shared" si="29"/>
        <v>97442</v>
      </c>
      <c r="AH100" s="164">
        <f>SUM(AH98:AH99)</f>
        <v>11752251</v>
      </c>
      <c r="AI100" s="164">
        <f>SUM(AI98:AI99)</f>
        <v>7531503</v>
      </c>
      <c r="AJ100" s="164">
        <f>SUM(AJ98:AJ99)</f>
        <v>5234656</v>
      </c>
      <c r="AK100" s="164">
        <f>SUM(AK98:AK99)</f>
        <v>3004019</v>
      </c>
      <c r="AL100" s="164">
        <f t="shared" si="29"/>
        <v>676136</v>
      </c>
      <c r="AM100" s="164">
        <f t="shared" si="29"/>
        <v>103435</v>
      </c>
      <c r="AN100" s="164">
        <f t="shared" si="29"/>
        <v>53830</v>
      </c>
      <c r="AO100" s="164">
        <f>SUM(AO98:AO99)</f>
        <v>360614</v>
      </c>
      <c r="AP100" s="164">
        <f t="shared" si="29"/>
        <v>40415</v>
      </c>
      <c r="AQ100" s="164">
        <f t="shared" si="29"/>
        <v>138238</v>
      </c>
      <c r="AR100" s="164">
        <f t="shared" si="29"/>
        <v>2442367</v>
      </c>
      <c r="AS100" s="164"/>
      <c r="AT100" s="164">
        <f>+AT98+AT99</f>
        <v>162646141</v>
      </c>
      <c r="AU100" s="164"/>
      <c r="AV100" s="25"/>
    </row>
    <row r="101" spans="1:48" ht="12.75" customHeight="1">
      <c r="A101" s="167"/>
      <c r="B101" s="388"/>
      <c r="C101" s="178">
        <f aca="true" t="shared" si="30" ref="C101:AR101">+C100-C86</f>
        <v>0</v>
      </c>
      <c r="D101" s="178">
        <f t="shared" si="30"/>
        <v>0</v>
      </c>
      <c r="E101" s="178">
        <f t="shared" si="30"/>
        <v>0</v>
      </c>
      <c r="F101" s="178">
        <f t="shared" si="30"/>
        <v>0</v>
      </c>
      <c r="G101" s="178">
        <f t="shared" si="30"/>
        <v>0</v>
      </c>
      <c r="H101" s="178">
        <f t="shared" si="30"/>
        <v>0</v>
      </c>
      <c r="I101" s="178">
        <f t="shared" si="30"/>
        <v>0</v>
      </c>
      <c r="J101" s="178">
        <f t="shared" si="30"/>
        <v>0</v>
      </c>
      <c r="K101" s="178">
        <f t="shared" si="30"/>
        <v>0</v>
      </c>
      <c r="L101" s="178">
        <f t="shared" si="30"/>
        <v>0</v>
      </c>
      <c r="M101" s="178">
        <f t="shared" si="30"/>
        <v>0</v>
      </c>
      <c r="N101" s="178">
        <f t="shared" si="30"/>
        <v>0</v>
      </c>
      <c r="O101" s="178">
        <f t="shared" si="30"/>
        <v>0</v>
      </c>
      <c r="P101" s="178">
        <f t="shared" si="30"/>
        <v>0</v>
      </c>
      <c r="Q101" s="178">
        <f t="shared" si="30"/>
        <v>0</v>
      </c>
      <c r="R101" s="178">
        <f t="shared" si="30"/>
        <v>0</v>
      </c>
      <c r="S101" s="178">
        <f t="shared" si="30"/>
        <v>0</v>
      </c>
      <c r="T101" s="178">
        <f>+T100-T86</f>
        <v>0</v>
      </c>
      <c r="U101" s="178">
        <f>+U100-U86</f>
        <v>0</v>
      </c>
      <c r="V101" s="178">
        <f t="shared" si="30"/>
        <v>0</v>
      </c>
      <c r="W101" s="178">
        <f t="shared" si="30"/>
        <v>0</v>
      </c>
      <c r="X101" s="178">
        <f t="shared" si="30"/>
        <v>0</v>
      </c>
      <c r="Y101" s="178">
        <f t="shared" si="30"/>
        <v>0</v>
      </c>
      <c r="Z101" s="178">
        <f t="shared" si="30"/>
        <v>0</v>
      </c>
      <c r="AA101" s="178">
        <f t="shared" si="30"/>
        <v>0</v>
      </c>
      <c r="AB101" s="178">
        <f t="shared" si="30"/>
        <v>0</v>
      </c>
      <c r="AC101" s="178">
        <f t="shared" si="30"/>
        <v>0</v>
      </c>
      <c r="AD101" s="178">
        <f t="shared" si="30"/>
        <v>0</v>
      </c>
      <c r="AE101" s="178">
        <f t="shared" si="30"/>
        <v>0</v>
      </c>
      <c r="AF101" s="178">
        <f t="shared" si="30"/>
        <v>0</v>
      </c>
      <c r="AG101" s="178">
        <f t="shared" si="30"/>
        <v>0</v>
      </c>
      <c r="AH101" s="178">
        <f>+AH100-AH86</f>
        <v>0</v>
      </c>
      <c r="AI101" s="178">
        <f>+AI100-AI86</f>
        <v>0</v>
      </c>
      <c r="AJ101" s="178">
        <f>+AJ100-AJ86</f>
        <v>0</v>
      </c>
      <c r="AK101" s="178">
        <f>+AK100-AK86</f>
        <v>0</v>
      </c>
      <c r="AL101" s="178">
        <f t="shared" si="30"/>
        <v>0</v>
      </c>
      <c r="AM101" s="178">
        <f t="shared" si="30"/>
        <v>0</v>
      </c>
      <c r="AN101" s="178">
        <f t="shared" si="30"/>
        <v>0</v>
      </c>
      <c r="AO101" s="178">
        <f>+AO100-AO86</f>
        <v>0</v>
      </c>
      <c r="AP101" s="178">
        <f t="shared" si="30"/>
        <v>0</v>
      </c>
      <c r="AQ101" s="178">
        <f t="shared" si="30"/>
        <v>0</v>
      </c>
      <c r="AR101" s="178">
        <f t="shared" si="30"/>
        <v>0</v>
      </c>
      <c r="AS101" s="178"/>
      <c r="AT101" s="178">
        <f>+AT100-'5.1. Séreignard.'!AT86</f>
        <v>0</v>
      </c>
      <c r="AU101" s="178"/>
      <c r="AV101" s="25"/>
    </row>
  </sheetData>
  <sheetProtection/>
  <mergeCells count="44">
    <mergeCell ref="C4:E4"/>
    <mergeCell ref="AL4:AN4"/>
    <mergeCell ref="AF4:AG4"/>
    <mergeCell ref="P36:S36"/>
    <mergeCell ref="AA36:AC36"/>
    <mergeCell ref="P4:S4"/>
    <mergeCell ref="AA4:AC4"/>
    <mergeCell ref="T4:U4"/>
    <mergeCell ref="C36:E36"/>
    <mergeCell ref="AH36:AK36"/>
    <mergeCell ref="AR1:AR3"/>
    <mergeCell ref="AF1:AG1"/>
    <mergeCell ref="P1:S1"/>
    <mergeCell ref="G1:I1"/>
    <mergeCell ref="AH1:AK1"/>
    <mergeCell ref="AL1:AN1"/>
    <mergeCell ref="AO1:AO3"/>
    <mergeCell ref="AT1:AT3"/>
    <mergeCell ref="G37:I37"/>
    <mergeCell ref="G36:I36"/>
    <mergeCell ref="C1:E1"/>
    <mergeCell ref="AP1:AQ1"/>
    <mergeCell ref="AH4:AK4"/>
    <mergeCell ref="J1:O1"/>
    <mergeCell ref="AD1:AD3"/>
    <mergeCell ref="AP4:AQ4"/>
    <mergeCell ref="J37:K37"/>
    <mergeCell ref="V4:Z4"/>
    <mergeCell ref="AE1:AE3"/>
    <mergeCell ref="V1:Z1"/>
    <mergeCell ref="AA1:AC1"/>
    <mergeCell ref="F1:F3"/>
    <mergeCell ref="J4:O4"/>
    <mergeCell ref="G4:I4"/>
    <mergeCell ref="T1:U1"/>
    <mergeCell ref="D37:E37"/>
    <mergeCell ref="L38:M38"/>
    <mergeCell ref="AM36:AN36"/>
    <mergeCell ref="V37:Z37"/>
    <mergeCell ref="V36:Z36"/>
    <mergeCell ref="J38:K38"/>
    <mergeCell ref="L37:M37"/>
    <mergeCell ref="T36:U36"/>
    <mergeCell ref="J36:O36"/>
  </mergeCells>
  <printOptions/>
  <pageMargins left="0.4724409448818898" right="0.2362204724409449" top="0.984251968503937" bottom="0.2755905511811024" header="0.5118110236220472" footer="0.1968503937007874"/>
  <pageSetup firstPageNumber="53" useFirstPageNumber="1" horizontalDpi="600" verticalDpi="600" orientation="portrait" paperSize="9" r:id="rId1"/>
  <headerFooter alignWithMargins="0">
    <oddHeader>&amp;C&amp;"Times New Roman,Bold"&amp;12 5.2 KENNITÖLUR SÉREIGNARDEILDA ÁRIÐ 2007</oddHeader>
    <oddFooter>&amp;R&amp;"Times New Roman,Regular"&amp;P</oddFooter>
  </headerFooter>
  <colBreaks count="3" manualBreakCount="3">
    <brk id="9" max="54" man="1"/>
    <brk id="15" max="54" man="1"/>
    <brk id="2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L38"/>
  <sheetViews>
    <sheetView view="pageBreakPreview" zoomScaleSheetLayoutView="100" workbookViewId="0" topLeftCell="CC1">
      <selection activeCell="CJ17" sqref="CJ17"/>
    </sheetView>
  </sheetViews>
  <sheetFormatPr defaultColWidth="8.8515625" defaultRowHeight="12.75" customHeight="1"/>
  <cols>
    <col min="1" max="1" width="4.00390625" style="27" customWidth="1"/>
    <col min="2" max="2" width="21.00390625" style="27" customWidth="1"/>
    <col min="3" max="21" width="9.28125" style="27" customWidth="1"/>
    <col min="22" max="28" width="9.00390625" style="27" customWidth="1"/>
    <col min="29" max="31" width="9.28125" style="27" customWidth="1"/>
    <col min="32" max="37" width="9.00390625" style="27" customWidth="1"/>
    <col min="38" max="45" width="9.28125" style="27" customWidth="1"/>
    <col min="46" max="46" width="9.8515625" style="27" customWidth="1"/>
    <col min="47" max="47" width="8.28125" style="27" customWidth="1"/>
    <col min="48" max="49" width="9.28125" style="27" customWidth="1"/>
    <col min="50" max="50" width="9.7109375" style="27" customWidth="1"/>
    <col min="51" max="60" width="9.28125" style="27" customWidth="1"/>
    <col min="61" max="61" width="8.28125" style="27" customWidth="1"/>
    <col min="62" max="62" width="9.421875" style="27" customWidth="1"/>
    <col min="63" max="76" width="9.28125" style="27" customWidth="1"/>
    <col min="77" max="77" width="10.140625" style="27" customWidth="1"/>
    <col min="78" max="86" width="9.28125" style="27" customWidth="1"/>
    <col min="87" max="87" width="8.00390625" style="27" customWidth="1"/>
    <col min="88" max="88" width="10.57421875" style="39" customWidth="1"/>
    <col min="89" max="99" width="13.57421875" style="27" customWidth="1"/>
    <col min="100" max="16384" width="8.8515625" style="27" customWidth="1"/>
  </cols>
  <sheetData>
    <row r="1" spans="1:88" ht="12.75" customHeight="1">
      <c r="A1" s="186"/>
      <c r="B1" s="186"/>
      <c r="C1" s="497" t="s">
        <v>396</v>
      </c>
      <c r="D1" s="497"/>
      <c r="E1" s="497"/>
      <c r="F1" s="497"/>
      <c r="G1" s="497"/>
      <c r="H1" s="497" t="s">
        <v>464</v>
      </c>
      <c r="I1" s="497"/>
      <c r="J1" s="497" t="s">
        <v>25</v>
      </c>
      <c r="K1" s="497"/>
      <c r="L1" s="497"/>
      <c r="M1" s="497"/>
      <c r="N1" s="497" t="s">
        <v>0</v>
      </c>
      <c r="O1" s="497"/>
      <c r="P1" s="497"/>
      <c r="Q1" s="497"/>
      <c r="R1" s="497"/>
      <c r="S1" s="497"/>
      <c r="T1" s="497"/>
      <c r="U1" s="497"/>
      <c r="V1" s="497" t="s">
        <v>23</v>
      </c>
      <c r="W1" s="497"/>
      <c r="X1" s="497"/>
      <c r="Y1" s="497"/>
      <c r="Z1" s="497"/>
      <c r="AA1" s="497"/>
      <c r="AB1" s="497"/>
      <c r="AC1" s="497" t="s">
        <v>547</v>
      </c>
      <c r="AD1" s="497"/>
      <c r="AE1" s="497"/>
      <c r="AF1" s="497" t="s">
        <v>31</v>
      </c>
      <c r="AG1" s="497"/>
      <c r="AH1" s="497"/>
      <c r="AI1" s="497"/>
      <c r="AJ1" s="497"/>
      <c r="AK1" s="497"/>
      <c r="AL1" s="497" t="s">
        <v>246</v>
      </c>
      <c r="AM1" s="497"/>
      <c r="AN1" s="497"/>
      <c r="AO1" s="497"/>
      <c r="AP1" s="497" t="s">
        <v>408</v>
      </c>
      <c r="AQ1" s="497"/>
      <c r="AR1" s="497" t="s">
        <v>24</v>
      </c>
      <c r="AS1" s="497"/>
      <c r="AT1" s="496" t="s">
        <v>166</v>
      </c>
      <c r="AU1" s="497" t="s">
        <v>3</v>
      </c>
      <c r="AV1" s="497"/>
      <c r="AW1" s="413" t="s">
        <v>29</v>
      </c>
      <c r="AX1" s="413"/>
      <c r="AY1" s="497" t="s">
        <v>26</v>
      </c>
      <c r="AZ1" s="497"/>
      <c r="BA1" s="497"/>
      <c r="BB1" s="497"/>
      <c r="BC1" s="497"/>
      <c r="BD1" s="497" t="s">
        <v>248</v>
      </c>
      <c r="BE1" s="497"/>
      <c r="BF1" s="497"/>
      <c r="BG1" s="497"/>
      <c r="BH1" s="497"/>
      <c r="BI1" s="497" t="s">
        <v>30</v>
      </c>
      <c r="BJ1" s="497"/>
      <c r="BK1" s="497" t="s">
        <v>249</v>
      </c>
      <c r="BL1" s="497"/>
      <c r="BM1" s="497"/>
      <c r="BN1" s="496" t="s">
        <v>161</v>
      </c>
      <c r="BO1" s="496" t="s">
        <v>27</v>
      </c>
      <c r="BP1" s="496" t="s">
        <v>461</v>
      </c>
      <c r="BQ1" s="496" t="s">
        <v>227</v>
      </c>
      <c r="BR1" s="496" t="s">
        <v>539</v>
      </c>
      <c r="BS1" s="496" t="s">
        <v>462</v>
      </c>
      <c r="BT1" s="496" t="s">
        <v>162</v>
      </c>
      <c r="BU1" s="496" t="s">
        <v>28</v>
      </c>
      <c r="BV1" s="497" t="s">
        <v>463</v>
      </c>
      <c r="BW1" s="497"/>
      <c r="BX1" s="496" t="s">
        <v>165</v>
      </c>
      <c r="BY1" s="496" t="s">
        <v>158</v>
      </c>
      <c r="BZ1" s="496" t="s">
        <v>4</v>
      </c>
      <c r="CA1" s="496" t="s">
        <v>160</v>
      </c>
      <c r="CB1" s="496" t="s">
        <v>5</v>
      </c>
      <c r="CC1" s="496" t="s">
        <v>163</v>
      </c>
      <c r="CD1" s="496" t="s">
        <v>6</v>
      </c>
      <c r="CE1" s="496" t="s">
        <v>226</v>
      </c>
      <c r="CF1" s="498" t="s">
        <v>225</v>
      </c>
      <c r="CG1" s="496" t="s">
        <v>168</v>
      </c>
      <c r="CH1" s="496" t="s">
        <v>380</v>
      </c>
      <c r="CI1" s="410"/>
      <c r="CJ1" s="250"/>
    </row>
    <row r="2" spans="1:88" ht="12.75" customHeight="1">
      <c r="A2" s="186"/>
      <c r="B2" s="186" t="s">
        <v>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409"/>
      <c r="W2" s="409"/>
      <c r="X2" s="409"/>
      <c r="Y2" s="409"/>
      <c r="Z2" s="409"/>
      <c r="AA2" s="409"/>
      <c r="AB2" s="409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496"/>
      <c r="AU2" s="186"/>
      <c r="AV2" s="186"/>
      <c r="AW2" s="413"/>
      <c r="AX2" s="413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496"/>
      <c r="BO2" s="496"/>
      <c r="BP2" s="496"/>
      <c r="BQ2" s="496"/>
      <c r="BR2" s="496"/>
      <c r="BS2" s="496"/>
      <c r="BT2" s="496"/>
      <c r="BU2" s="496"/>
      <c r="BV2" s="186"/>
      <c r="BW2" s="186"/>
      <c r="BX2" s="496"/>
      <c r="BY2" s="496"/>
      <c r="BZ2" s="496"/>
      <c r="CA2" s="496"/>
      <c r="CB2" s="496"/>
      <c r="CC2" s="496"/>
      <c r="CD2" s="496"/>
      <c r="CE2" s="496"/>
      <c r="CF2" s="498"/>
      <c r="CG2" s="496"/>
      <c r="CH2" s="496"/>
      <c r="CI2" s="410"/>
      <c r="CJ2" s="171" t="s">
        <v>371</v>
      </c>
    </row>
    <row r="3" spans="1:88" ht="12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496"/>
      <c r="AU3" s="186"/>
      <c r="AV3" s="186"/>
      <c r="AW3" s="413"/>
      <c r="AX3" s="413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496"/>
      <c r="BO3" s="496"/>
      <c r="BP3" s="496"/>
      <c r="BQ3" s="496"/>
      <c r="BR3" s="496"/>
      <c r="BS3" s="496"/>
      <c r="BT3" s="496"/>
      <c r="BU3" s="496"/>
      <c r="BV3" s="186"/>
      <c r="BW3" s="186"/>
      <c r="BX3" s="496"/>
      <c r="BY3" s="496"/>
      <c r="BZ3" s="496"/>
      <c r="CA3" s="496"/>
      <c r="CB3" s="496"/>
      <c r="CC3" s="496"/>
      <c r="CD3" s="496"/>
      <c r="CE3" s="496"/>
      <c r="CF3" s="498"/>
      <c r="CG3" s="496"/>
      <c r="CH3" s="496"/>
      <c r="CI3" s="410"/>
      <c r="CJ3" s="171" t="s">
        <v>9</v>
      </c>
    </row>
    <row r="4" spans="1:88" ht="12.75" customHeight="1">
      <c r="A4" s="186"/>
      <c r="B4" s="186"/>
      <c r="C4" s="495" t="s">
        <v>481</v>
      </c>
      <c r="D4" s="495"/>
      <c r="E4" s="495"/>
      <c r="F4" s="495"/>
      <c r="G4" s="495"/>
      <c r="H4" s="495" t="s">
        <v>511</v>
      </c>
      <c r="I4" s="495"/>
      <c r="J4" s="495" t="s">
        <v>491</v>
      </c>
      <c r="K4" s="496"/>
      <c r="L4" s="496"/>
      <c r="M4" s="496"/>
      <c r="N4" s="495" t="s">
        <v>515</v>
      </c>
      <c r="O4" s="496"/>
      <c r="P4" s="496"/>
      <c r="Q4" s="496"/>
      <c r="R4" s="496"/>
      <c r="S4" s="496"/>
      <c r="T4" s="496"/>
      <c r="U4" s="496"/>
      <c r="V4" s="484" t="s">
        <v>482</v>
      </c>
      <c r="W4" s="484"/>
      <c r="X4" s="484"/>
      <c r="Y4" s="484"/>
      <c r="Z4" s="484"/>
      <c r="AA4" s="484"/>
      <c r="AB4" s="484"/>
      <c r="AC4" s="495" t="s">
        <v>517</v>
      </c>
      <c r="AD4" s="495"/>
      <c r="AE4" s="495"/>
      <c r="AF4" s="495" t="s">
        <v>490</v>
      </c>
      <c r="AG4" s="496"/>
      <c r="AH4" s="496"/>
      <c r="AI4" s="496"/>
      <c r="AJ4" s="496"/>
      <c r="AK4" s="496"/>
      <c r="AL4" s="495" t="s">
        <v>501</v>
      </c>
      <c r="AM4" s="496"/>
      <c r="AN4" s="496"/>
      <c r="AO4" s="496"/>
      <c r="AP4" s="495" t="s">
        <v>516</v>
      </c>
      <c r="AQ4" s="496"/>
      <c r="AR4" s="495" t="s">
        <v>489</v>
      </c>
      <c r="AS4" s="496"/>
      <c r="AT4" s="411" t="s">
        <v>496</v>
      </c>
      <c r="AU4" s="495" t="s">
        <v>494</v>
      </c>
      <c r="AV4" s="496"/>
      <c r="AW4" s="495" t="s">
        <v>510</v>
      </c>
      <c r="AX4" s="495"/>
      <c r="AY4" s="495" t="s">
        <v>512</v>
      </c>
      <c r="AZ4" s="496"/>
      <c r="BA4" s="496"/>
      <c r="BB4" s="496"/>
      <c r="BC4" s="496"/>
      <c r="BD4" s="495" t="s">
        <v>508</v>
      </c>
      <c r="BE4" s="495"/>
      <c r="BF4" s="495"/>
      <c r="BG4" s="495"/>
      <c r="BH4" s="495"/>
      <c r="BI4" s="495" t="s">
        <v>492</v>
      </c>
      <c r="BJ4" s="496"/>
      <c r="BK4" s="495" t="s">
        <v>499</v>
      </c>
      <c r="BL4" s="496"/>
      <c r="BM4" s="496"/>
      <c r="BN4" s="411" t="s">
        <v>513</v>
      </c>
      <c r="BO4" s="411" t="s">
        <v>495</v>
      </c>
      <c r="BP4" s="411" t="s">
        <v>483</v>
      </c>
      <c r="BQ4" s="411" t="s">
        <v>507</v>
      </c>
      <c r="BR4" s="411" t="s">
        <v>505</v>
      </c>
      <c r="BS4" s="411" t="s">
        <v>486</v>
      </c>
      <c r="BT4" s="411" t="s">
        <v>502</v>
      </c>
      <c r="BU4" s="411" t="s">
        <v>497</v>
      </c>
      <c r="BV4" s="495" t="s">
        <v>498</v>
      </c>
      <c r="BW4" s="495"/>
      <c r="BX4" s="411" t="s">
        <v>509</v>
      </c>
      <c r="BY4" s="411" t="s">
        <v>506</v>
      </c>
      <c r="BZ4" s="411" t="s">
        <v>504</v>
      </c>
      <c r="CA4" s="411" t="s">
        <v>487</v>
      </c>
      <c r="CB4" s="411" t="s">
        <v>500</v>
      </c>
      <c r="CC4" s="411" t="s">
        <v>493</v>
      </c>
      <c r="CD4" s="411" t="s">
        <v>484</v>
      </c>
      <c r="CE4" s="411" t="s">
        <v>488</v>
      </c>
      <c r="CF4" s="411" t="s">
        <v>485</v>
      </c>
      <c r="CG4" s="411" t="s">
        <v>503</v>
      </c>
      <c r="CH4" s="411" t="s">
        <v>514</v>
      </c>
      <c r="CI4" s="411"/>
      <c r="CJ4" s="171" t="s">
        <v>12</v>
      </c>
    </row>
    <row r="5" spans="1:88" s="106" customFormat="1" ht="12.75" customHeight="1">
      <c r="A5" s="412"/>
      <c r="B5" s="412"/>
      <c r="C5" s="412" t="s">
        <v>14</v>
      </c>
      <c r="D5" s="412" t="s">
        <v>15</v>
      </c>
      <c r="E5" s="412" t="s">
        <v>267</v>
      </c>
      <c r="F5" s="412" t="s">
        <v>268</v>
      </c>
      <c r="G5" s="412" t="s">
        <v>269</v>
      </c>
      <c r="H5" s="412" t="s">
        <v>522</v>
      </c>
      <c r="I5" s="412" t="s">
        <v>523</v>
      </c>
      <c r="J5" s="412" t="s">
        <v>522</v>
      </c>
      <c r="K5" s="412" t="s">
        <v>258</v>
      </c>
      <c r="L5" s="412" t="s">
        <v>259</v>
      </c>
      <c r="M5" s="412" t="s">
        <v>260</v>
      </c>
      <c r="N5" s="412" t="s">
        <v>16</v>
      </c>
      <c r="O5" s="412" t="s">
        <v>171</v>
      </c>
      <c r="P5" s="412" t="s">
        <v>275</v>
      </c>
      <c r="Q5" s="412" t="s">
        <v>276</v>
      </c>
      <c r="R5" s="412" t="s">
        <v>271</v>
      </c>
      <c r="S5" s="412" t="s">
        <v>272</v>
      </c>
      <c r="T5" s="412" t="s">
        <v>273</v>
      </c>
      <c r="U5" s="412" t="s">
        <v>274</v>
      </c>
      <c r="V5" s="412" t="s">
        <v>524</v>
      </c>
      <c r="W5" s="412" t="s">
        <v>33</v>
      </c>
      <c r="X5" s="412" t="s">
        <v>525</v>
      </c>
      <c r="Y5" s="412" t="s">
        <v>251</v>
      </c>
      <c r="Z5" s="412" t="s">
        <v>252</v>
      </c>
      <c r="AA5" s="412" t="s">
        <v>253</v>
      </c>
      <c r="AB5" s="412" t="s">
        <v>254</v>
      </c>
      <c r="AC5" s="412" t="s">
        <v>526</v>
      </c>
      <c r="AD5" s="412" t="s">
        <v>265</v>
      </c>
      <c r="AE5" s="412" t="s">
        <v>266</v>
      </c>
      <c r="AF5" s="412" t="s">
        <v>522</v>
      </c>
      <c r="AG5" s="412" t="s">
        <v>267</v>
      </c>
      <c r="AH5" s="412" t="s">
        <v>268</v>
      </c>
      <c r="AI5" s="412" t="s">
        <v>269</v>
      </c>
      <c r="AJ5" s="412" t="s">
        <v>277</v>
      </c>
      <c r="AK5" s="412" t="s">
        <v>278</v>
      </c>
      <c r="AL5" s="412" t="s">
        <v>522</v>
      </c>
      <c r="AM5" s="412" t="s">
        <v>255</v>
      </c>
      <c r="AN5" s="412" t="s">
        <v>256</v>
      </c>
      <c r="AO5" s="412" t="s">
        <v>257</v>
      </c>
      <c r="AP5" s="412" t="s">
        <v>522</v>
      </c>
      <c r="AQ5" s="412" t="s">
        <v>523</v>
      </c>
      <c r="AR5" s="412" t="s">
        <v>522</v>
      </c>
      <c r="AS5" s="412" t="s">
        <v>523</v>
      </c>
      <c r="AT5" s="410"/>
      <c r="AU5" s="412" t="s">
        <v>527</v>
      </c>
      <c r="AV5" s="412" t="s">
        <v>16</v>
      </c>
      <c r="AW5" s="412" t="s">
        <v>522</v>
      </c>
      <c r="AX5" s="412" t="s">
        <v>18</v>
      </c>
      <c r="AY5" s="412" t="s">
        <v>522</v>
      </c>
      <c r="AZ5" s="412" t="s">
        <v>261</v>
      </c>
      <c r="BA5" s="412" t="s">
        <v>262</v>
      </c>
      <c r="BB5" s="412" t="s">
        <v>263</v>
      </c>
      <c r="BC5" s="412" t="s">
        <v>264</v>
      </c>
      <c r="BD5" s="412" t="s">
        <v>15</v>
      </c>
      <c r="BE5" s="412" t="s">
        <v>17</v>
      </c>
      <c r="BF5" s="412" t="s">
        <v>267</v>
      </c>
      <c r="BG5" s="412" t="s">
        <v>268</v>
      </c>
      <c r="BH5" s="412" t="s">
        <v>269</v>
      </c>
      <c r="BI5" s="412" t="s">
        <v>522</v>
      </c>
      <c r="BJ5" s="412" t="s">
        <v>18</v>
      </c>
      <c r="BK5" s="412" t="s">
        <v>522</v>
      </c>
      <c r="BL5" s="412" t="s">
        <v>265</v>
      </c>
      <c r="BM5" s="412" t="s">
        <v>266</v>
      </c>
      <c r="BN5" s="410"/>
      <c r="BO5" s="410"/>
      <c r="BP5" s="410"/>
      <c r="BQ5" s="410"/>
      <c r="BR5" s="410"/>
      <c r="BS5" s="410"/>
      <c r="BT5" s="410"/>
      <c r="BU5" s="410"/>
      <c r="BV5" s="412" t="s">
        <v>522</v>
      </c>
      <c r="BW5" s="412" t="s">
        <v>523</v>
      </c>
      <c r="BX5" s="410"/>
      <c r="BY5" s="410"/>
      <c r="BZ5" s="410"/>
      <c r="CA5" s="410"/>
      <c r="CB5" s="410"/>
      <c r="CC5" s="410"/>
      <c r="CD5" s="410"/>
      <c r="CE5" s="410"/>
      <c r="CF5" s="412"/>
      <c r="CG5" s="410"/>
      <c r="CH5" s="410"/>
      <c r="CI5" s="410"/>
      <c r="CJ5" s="409"/>
    </row>
    <row r="6" spans="1:88" ht="12.75" customHeight="1">
      <c r="A6" s="250" t="s">
        <v>446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443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443"/>
      <c r="BO6" s="443"/>
      <c r="BP6" s="443"/>
      <c r="BQ6" s="443"/>
      <c r="BR6" s="443"/>
      <c r="BS6" s="443"/>
      <c r="BT6" s="443"/>
      <c r="BU6" s="443"/>
      <c r="BV6" s="186"/>
      <c r="BW6" s="186"/>
      <c r="BX6" s="443"/>
      <c r="BY6" s="443"/>
      <c r="BZ6" s="443"/>
      <c r="CA6" s="443"/>
      <c r="CB6" s="443"/>
      <c r="CC6" s="443"/>
      <c r="CD6" s="443"/>
      <c r="CE6" s="443"/>
      <c r="CF6" s="186"/>
      <c r="CG6" s="443"/>
      <c r="CH6" s="443"/>
      <c r="CI6" s="443"/>
      <c r="CJ6" s="250"/>
    </row>
    <row r="7" spans="1:88" ht="12.75" customHeight="1">
      <c r="A7" s="186"/>
      <c r="B7" s="186" t="s">
        <v>447</v>
      </c>
      <c r="C7" s="438">
        <v>26812378.863</v>
      </c>
      <c r="D7" s="438">
        <v>14869451.008</v>
      </c>
      <c r="E7" s="438">
        <v>898322.8960000001</v>
      </c>
      <c r="F7" s="438">
        <v>478884.104</v>
      </c>
      <c r="G7" s="438">
        <v>0</v>
      </c>
      <c r="H7" s="438">
        <v>44926460</v>
      </c>
      <c r="I7" s="438">
        <v>1104749</v>
      </c>
      <c r="J7" s="438">
        <v>55417105.717</v>
      </c>
      <c r="K7" s="438">
        <v>203410</v>
      </c>
      <c r="L7" s="438">
        <v>305844.024</v>
      </c>
      <c r="M7" s="438">
        <v>0</v>
      </c>
      <c r="N7" s="438">
        <v>16151246</v>
      </c>
      <c r="O7" s="438">
        <v>1939915</v>
      </c>
      <c r="P7" s="438">
        <v>62585</v>
      </c>
      <c r="Q7" s="438">
        <v>685448</v>
      </c>
      <c r="R7" s="438">
        <v>10856</v>
      </c>
      <c r="S7" s="438">
        <v>40908</v>
      </c>
      <c r="T7" s="438">
        <v>21863</v>
      </c>
      <c r="U7" s="438">
        <v>1393</v>
      </c>
      <c r="V7" s="438">
        <v>1667355.684</v>
      </c>
      <c r="W7" s="438">
        <v>860497.967</v>
      </c>
      <c r="X7" s="438">
        <v>0</v>
      </c>
      <c r="Y7" s="438">
        <v>1799067.225</v>
      </c>
      <c r="Z7" s="438">
        <v>7440935.671</v>
      </c>
      <c r="AA7" s="438">
        <v>1581701.3869999999</v>
      </c>
      <c r="AB7" s="438">
        <v>109351.682</v>
      </c>
      <c r="AC7" s="438">
        <v>21638389</v>
      </c>
      <c r="AD7" s="438">
        <v>172681</v>
      </c>
      <c r="AE7" s="438">
        <v>387220</v>
      </c>
      <c r="AF7" s="438">
        <v>10273165</v>
      </c>
      <c r="AG7" s="438">
        <v>0</v>
      </c>
      <c r="AH7" s="438">
        <v>18491</v>
      </c>
      <c r="AI7" s="438">
        <v>2581</v>
      </c>
      <c r="AJ7" s="438">
        <v>0</v>
      </c>
      <c r="AK7" s="438">
        <v>270990</v>
      </c>
      <c r="AL7" s="438">
        <v>3522571</v>
      </c>
      <c r="AM7" s="438">
        <v>10441066</v>
      </c>
      <c r="AN7" s="438">
        <v>1472895</v>
      </c>
      <c r="AO7" s="438">
        <v>2089369</v>
      </c>
      <c r="AP7" s="438">
        <v>23057785</v>
      </c>
      <c r="AQ7" s="438">
        <v>145737</v>
      </c>
      <c r="AR7" s="438">
        <v>16451675.212000001</v>
      </c>
      <c r="AS7" s="438">
        <v>33654</v>
      </c>
      <c r="AT7" s="438">
        <v>30795221</v>
      </c>
      <c r="AU7" s="438">
        <v>14915386</v>
      </c>
      <c r="AV7" s="438">
        <v>3293928</v>
      </c>
      <c r="AW7" s="416">
        <v>299462.830029</v>
      </c>
      <c r="AX7" s="416">
        <v>413821.3344549976</v>
      </c>
      <c r="AY7" s="438">
        <v>282222</v>
      </c>
      <c r="AZ7" s="438">
        <v>933083</v>
      </c>
      <c r="BA7" s="438">
        <v>859042</v>
      </c>
      <c r="BB7" s="438">
        <v>873443</v>
      </c>
      <c r="BC7" s="438">
        <v>602958</v>
      </c>
      <c r="BD7" s="438">
        <v>5083975</v>
      </c>
      <c r="BE7" s="438">
        <v>455935</v>
      </c>
      <c r="BF7" s="438">
        <v>217892</v>
      </c>
      <c r="BG7" s="438">
        <v>60728</v>
      </c>
      <c r="BH7" s="438">
        <v>0</v>
      </c>
      <c r="BI7" s="438">
        <v>4988145</v>
      </c>
      <c r="BJ7" s="438">
        <v>188537</v>
      </c>
      <c r="BK7" s="438">
        <v>6324288.509</v>
      </c>
      <c r="BL7" s="438">
        <v>24249.425</v>
      </c>
      <c r="BM7" s="438">
        <v>69118.996</v>
      </c>
      <c r="BN7" s="438">
        <v>3668164.473</v>
      </c>
      <c r="BO7" s="438">
        <v>6136184</v>
      </c>
      <c r="BP7" s="438">
        <v>965019</v>
      </c>
      <c r="BQ7" s="438">
        <v>8762166</v>
      </c>
      <c r="BR7" s="438">
        <v>1541453</v>
      </c>
      <c r="BS7" s="438">
        <v>2872682.506</v>
      </c>
      <c r="BT7" s="438">
        <v>3573762</v>
      </c>
      <c r="BU7" s="438">
        <v>823606.01</v>
      </c>
      <c r="BV7" s="438">
        <v>39079</v>
      </c>
      <c r="BW7" s="438">
        <v>278490</v>
      </c>
      <c r="BX7" s="438">
        <v>294386.8</v>
      </c>
      <c r="BY7" s="438">
        <v>256995</v>
      </c>
      <c r="BZ7" s="438">
        <v>269433</v>
      </c>
      <c r="CA7" s="438">
        <v>234091</v>
      </c>
      <c r="CB7" s="438">
        <v>0</v>
      </c>
      <c r="CC7" s="438">
        <v>204917.138</v>
      </c>
      <c r="CD7" s="438">
        <v>51043</v>
      </c>
      <c r="CE7" s="438">
        <v>248163.114</v>
      </c>
      <c r="CF7" s="438">
        <v>13250</v>
      </c>
      <c r="CG7" s="438">
        <v>0</v>
      </c>
      <c r="CH7" s="438">
        <v>12046</v>
      </c>
      <c r="CI7" s="186"/>
      <c r="CJ7" s="250">
        <f>SUM(C7:CH7)</f>
        <v>368294365.57548404</v>
      </c>
    </row>
    <row r="8" spans="1:88" ht="12.75" customHeight="1">
      <c r="A8" s="186" t="s">
        <v>419</v>
      </c>
      <c r="B8" s="186" t="s">
        <v>448</v>
      </c>
      <c r="C8" s="442">
        <v>6987525.867</v>
      </c>
      <c r="D8" s="442">
        <v>3708896.673</v>
      </c>
      <c r="E8" s="442">
        <v>13663.469</v>
      </c>
      <c r="F8" s="442">
        <v>6432.38</v>
      </c>
      <c r="G8" s="442">
        <v>0</v>
      </c>
      <c r="H8" s="442">
        <v>714854</v>
      </c>
      <c r="I8" s="442">
        <v>17578</v>
      </c>
      <c r="J8" s="442">
        <v>2701089.528</v>
      </c>
      <c r="K8" s="442">
        <v>30450</v>
      </c>
      <c r="L8" s="442">
        <v>62810.97</v>
      </c>
      <c r="M8" s="442">
        <v>0</v>
      </c>
      <c r="N8" s="442">
        <v>1004197</v>
      </c>
      <c r="O8" s="442">
        <v>120613</v>
      </c>
      <c r="P8" s="442">
        <v>7274</v>
      </c>
      <c r="Q8" s="442">
        <v>79667</v>
      </c>
      <c r="R8" s="442">
        <v>1171</v>
      </c>
      <c r="S8" s="442">
        <v>4523</v>
      </c>
      <c r="T8" s="442">
        <v>2447</v>
      </c>
      <c r="U8" s="442">
        <v>162</v>
      </c>
      <c r="V8" s="442">
        <v>155280.184</v>
      </c>
      <c r="W8" s="442">
        <v>116819.736</v>
      </c>
      <c r="X8" s="442">
        <v>0</v>
      </c>
      <c r="Y8" s="442">
        <v>165802.261</v>
      </c>
      <c r="Z8" s="442">
        <v>671552.443</v>
      </c>
      <c r="AA8" s="442">
        <v>255433.42599999998</v>
      </c>
      <c r="AB8" s="442">
        <v>37256.044</v>
      </c>
      <c r="AC8" s="442">
        <v>2869580</v>
      </c>
      <c r="AD8" s="442">
        <v>238757</v>
      </c>
      <c r="AE8" s="442">
        <v>453375</v>
      </c>
      <c r="AF8" s="442">
        <v>812412</v>
      </c>
      <c r="AG8" s="442">
        <v>0</v>
      </c>
      <c r="AH8" s="442">
        <v>0</v>
      </c>
      <c r="AI8" s="442">
        <v>0</v>
      </c>
      <c r="AJ8" s="442">
        <v>0</v>
      </c>
      <c r="AK8" s="442">
        <v>21430</v>
      </c>
      <c r="AL8" s="442">
        <v>0</v>
      </c>
      <c r="AM8" s="442">
        <v>29757</v>
      </c>
      <c r="AN8" s="442">
        <v>0</v>
      </c>
      <c r="AO8" s="442">
        <v>29801</v>
      </c>
      <c r="AP8" s="442">
        <v>1043303</v>
      </c>
      <c r="AQ8" s="442">
        <v>0</v>
      </c>
      <c r="AR8" s="442">
        <v>1161503.0690000001</v>
      </c>
      <c r="AS8" s="442">
        <v>1444</v>
      </c>
      <c r="AT8" s="442">
        <v>56203</v>
      </c>
      <c r="AU8" s="442">
        <v>15511</v>
      </c>
      <c r="AV8" s="442">
        <v>5728</v>
      </c>
      <c r="AW8" s="437">
        <v>38848.343</v>
      </c>
      <c r="AX8" s="437">
        <v>0</v>
      </c>
      <c r="AY8" s="442">
        <v>4024</v>
      </c>
      <c r="AZ8" s="442">
        <v>17288</v>
      </c>
      <c r="BA8" s="442">
        <v>20576</v>
      </c>
      <c r="BB8" s="442">
        <v>14649</v>
      </c>
      <c r="BC8" s="442">
        <v>8796</v>
      </c>
      <c r="BD8" s="442">
        <v>110136</v>
      </c>
      <c r="BE8" s="442">
        <v>9877</v>
      </c>
      <c r="BF8" s="442">
        <v>0</v>
      </c>
      <c r="BG8" s="442">
        <v>0</v>
      </c>
      <c r="BH8" s="442">
        <v>0</v>
      </c>
      <c r="BI8" s="442">
        <v>917924</v>
      </c>
      <c r="BJ8" s="442">
        <v>0</v>
      </c>
      <c r="BK8" s="442">
        <v>525244.155</v>
      </c>
      <c r="BL8" s="442">
        <v>0</v>
      </c>
      <c r="BM8" s="442">
        <v>0</v>
      </c>
      <c r="BN8" s="442">
        <v>964355.147</v>
      </c>
      <c r="BO8" s="442">
        <v>206090</v>
      </c>
      <c r="BP8" s="442">
        <v>74669</v>
      </c>
      <c r="BQ8" s="442">
        <v>76117</v>
      </c>
      <c r="BR8" s="442">
        <v>83159</v>
      </c>
      <c r="BS8" s="442">
        <v>241275.453</v>
      </c>
      <c r="BT8" s="442">
        <v>182719</v>
      </c>
      <c r="BU8" s="442">
        <v>815</v>
      </c>
      <c r="BV8" s="442">
        <v>704</v>
      </c>
      <c r="BW8" s="442">
        <v>5856.9</v>
      </c>
      <c r="BX8" s="442">
        <v>32143.1</v>
      </c>
      <c r="BY8" s="442">
        <v>13238</v>
      </c>
      <c r="BZ8" s="442">
        <v>0</v>
      </c>
      <c r="CA8" s="442">
        <v>2889</v>
      </c>
      <c r="CB8" s="442">
        <v>0</v>
      </c>
      <c r="CC8" s="442">
        <v>6230.071</v>
      </c>
      <c r="CD8" s="442">
        <v>46517</v>
      </c>
      <c r="CE8" s="442">
        <v>0</v>
      </c>
      <c r="CF8" s="442">
        <v>614</v>
      </c>
      <c r="CG8" s="442">
        <v>0</v>
      </c>
      <c r="CH8" s="442">
        <v>0</v>
      </c>
      <c r="CI8" s="186"/>
      <c r="CJ8" s="250">
        <f>SUM(C8:CH8)</f>
        <v>27209057.218999997</v>
      </c>
    </row>
    <row r="9" spans="1:88" ht="12.75" customHeight="1">
      <c r="A9" s="186" t="s">
        <v>419</v>
      </c>
      <c r="B9" s="186" t="s">
        <v>449</v>
      </c>
      <c r="C9" s="414">
        <v>16195046.464</v>
      </c>
      <c r="D9" s="414">
        <v>9826958.549999999</v>
      </c>
      <c r="E9" s="414">
        <v>509899.915</v>
      </c>
      <c r="F9" s="414">
        <v>222449.066</v>
      </c>
      <c r="G9" s="414">
        <v>0</v>
      </c>
      <c r="H9" s="414">
        <v>17166287</v>
      </c>
      <c r="I9" s="414">
        <v>422122</v>
      </c>
      <c r="J9" s="414">
        <v>15597383.992</v>
      </c>
      <c r="K9" s="414">
        <v>57299</v>
      </c>
      <c r="L9" s="414">
        <v>90831.009</v>
      </c>
      <c r="M9" s="414">
        <v>0</v>
      </c>
      <c r="N9" s="414">
        <v>3446077</v>
      </c>
      <c r="O9" s="414">
        <v>413906</v>
      </c>
      <c r="P9" s="414">
        <v>38931</v>
      </c>
      <c r="Q9" s="414">
        <v>426381</v>
      </c>
      <c r="R9" s="414">
        <v>6268</v>
      </c>
      <c r="S9" s="414">
        <v>24204</v>
      </c>
      <c r="T9" s="414">
        <v>13096</v>
      </c>
      <c r="U9" s="414">
        <v>866</v>
      </c>
      <c r="V9" s="414">
        <v>846196.3190000001</v>
      </c>
      <c r="W9" s="414">
        <v>700803.415</v>
      </c>
      <c r="X9" s="414">
        <v>0</v>
      </c>
      <c r="Y9" s="414">
        <v>3642489.869</v>
      </c>
      <c r="Z9" s="414">
        <v>4221458.557</v>
      </c>
      <c r="AA9" s="414">
        <v>1937869.746</v>
      </c>
      <c r="AB9" s="414">
        <v>457786.509</v>
      </c>
      <c r="AC9" s="414">
        <v>8641063</v>
      </c>
      <c r="AD9" s="414">
        <v>24118</v>
      </c>
      <c r="AE9" s="414">
        <v>45798</v>
      </c>
      <c r="AF9" s="414">
        <v>3655612</v>
      </c>
      <c r="AG9" s="414">
        <v>0</v>
      </c>
      <c r="AH9" s="414">
        <v>27411</v>
      </c>
      <c r="AI9" s="414">
        <v>3826</v>
      </c>
      <c r="AJ9" s="414">
        <v>0</v>
      </c>
      <c r="AK9" s="414">
        <v>96430</v>
      </c>
      <c r="AL9" s="414">
        <v>935290</v>
      </c>
      <c r="AM9" s="414">
        <v>4542690</v>
      </c>
      <c r="AN9" s="414">
        <v>411295</v>
      </c>
      <c r="AO9" s="414">
        <v>1096370</v>
      </c>
      <c r="AP9" s="414">
        <v>4689686</v>
      </c>
      <c r="AQ9" s="414">
        <v>0</v>
      </c>
      <c r="AR9" s="414">
        <v>5337351.163</v>
      </c>
      <c r="AS9" s="414">
        <v>10355</v>
      </c>
      <c r="AT9" s="414">
        <v>991467</v>
      </c>
      <c r="AU9" s="414">
        <v>1249190</v>
      </c>
      <c r="AV9" s="414">
        <v>831621</v>
      </c>
      <c r="AW9" s="441">
        <v>2631021.4318520003</v>
      </c>
      <c r="AX9" s="441">
        <v>420128.0518259751</v>
      </c>
      <c r="AY9" s="414">
        <v>376991</v>
      </c>
      <c r="AZ9" s="414">
        <v>1680026</v>
      </c>
      <c r="BA9" s="414">
        <v>1248257</v>
      </c>
      <c r="BB9" s="414">
        <v>914343</v>
      </c>
      <c r="BC9" s="414">
        <v>579646</v>
      </c>
      <c r="BD9" s="414">
        <v>1949136</v>
      </c>
      <c r="BE9" s="414">
        <v>174800</v>
      </c>
      <c r="BF9" s="414">
        <v>36701</v>
      </c>
      <c r="BG9" s="414">
        <v>6723</v>
      </c>
      <c r="BH9" s="414">
        <v>0</v>
      </c>
      <c r="BI9" s="414">
        <v>2781184</v>
      </c>
      <c r="BJ9" s="414">
        <v>43429</v>
      </c>
      <c r="BK9" s="414">
        <v>1416737.154</v>
      </c>
      <c r="BL9" s="414">
        <v>0</v>
      </c>
      <c r="BM9" s="414">
        <v>0</v>
      </c>
      <c r="BN9" s="414">
        <v>2219040.865</v>
      </c>
      <c r="BO9" s="414">
        <v>2239872</v>
      </c>
      <c r="BP9" s="414">
        <v>2043442</v>
      </c>
      <c r="BQ9" s="414">
        <v>724007</v>
      </c>
      <c r="BR9" s="414">
        <v>1719048</v>
      </c>
      <c r="BS9" s="414">
        <v>940745.683</v>
      </c>
      <c r="BT9" s="414">
        <v>25042</v>
      </c>
      <c r="BU9" s="414">
        <v>363088.708</v>
      </c>
      <c r="BV9" s="414">
        <v>49629</v>
      </c>
      <c r="BW9" s="414">
        <v>417008</v>
      </c>
      <c r="BX9" s="414">
        <v>403048.2</v>
      </c>
      <c r="BY9" s="414">
        <v>181725</v>
      </c>
      <c r="BZ9" s="414">
        <v>35406</v>
      </c>
      <c r="CA9" s="414">
        <v>185783</v>
      </c>
      <c r="CB9" s="414">
        <v>24003</v>
      </c>
      <c r="CC9" s="414">
        <v>39835.262</v>
      </c>
      <c r="CD9" s="414">
        <v>211198</v>
      </c>
      <c r="CE9" s="414">
        <v>11391.536</v>
      </c>
      <c r="CF9" s="414">
        <v>47085</v>
      </c>
      <c r="CG9" s="414">
        <v>0</v>
      </c>
      <c r="CH9" s="414">
        <v>0</v>
      </c>
      <c r="CI9" s="186"/>
      <c r="CJ9" s="250">
        <f>SUM(C9:CH9)</f>
        <v>134993704.46567798</v>
      </c>
    </row>
    <row r="10" spans="1:88" ht="12.75" customHeight="1">
      <c r="A10" s="186" t="s">
        <v>419</v>
      </c>
      <c r="B10" s="186" t="s">
        <v>450</v>
      </c>
      <c r="C10" s="436">
        <v>1395426.191</v>
      </c>
      <c r="D10" s="436">
        <v>804778.799</v>
      </c>
      <c r="E10" s="436">
        <v>31208.273999999998</v>
      </c>
      <c r="F10" s="436">
        <v>5460.262000000001</v>
      </c>
      <c r="G10" s="436">
        <v>0</v>
      </c>
      <c r="H10" s="436">
        <v>3920606</v>
      </c>
      <c r="I10" s="436">
        <v>96408</v>
      </c>
      <c r="J10" s="436">
        <v>39484600.509</v>
      </c>
      <c r="K10" s="436">
        <v>196635</v>
      </c>
      <c r="L10" s="436">
        <v>181542.69900000002</v>
      </c>
      <c r="M10" s="436">
        <v>0</v>
      </c>
      <c r="N10" s="436">
        <v>1505545</v>
      </c>
      <c r="O10" s="436">
        <v>180830</v>
      </c>
      <c r="P10" s="436">
        <v>0</v>
      </c>
      <c r="Q10" s="436">
        <v>0</v>
      </c>
      <c r="R10" s="436">
        <v>0</v>
      </c>
      <c r="S10" s="436">
        <v>0</v>
      </c>
      <c r="T10" s="436">
        <v>0</v>
      </c>
      <c r="U10" s="436">
        <v>0</v>
      </c>
      <c r="V10" s="436">
        <v>0</v>
      </c>
      <c r="W10" s="436">
        <v>0</v>
      </c>
      <c r="X10" s="436">
        <v>0</v>
      </c>
      <c r="Y10" s="436">
        <v>0</v>
      </c>
      <c r="Z10" s="436">
        <v>0</v>
      </c>
      <c r="AA10" s="436">
        <v>0</v>
      </c>
      <c r="AB10" s="436">
        <v>0</v>
      </c>
      <c r="AC10" s="436">
        <v>8988108</v>
      </c>
      <c r="AD10" s="436">
        <v>0</v>
      </c>
      <c r="AE10" s="436">
        <v>0</v>
      </c>
      <c r="AF10" s="436">
        <v>2353276</v>
      </c>
      <c r="AG10" s="436">
        <v>0</v>
      </c>
      <c r="AH10" s="436">
        <v>0</v>
      </c>
      <c r="AI10" s="436">
        <v>3313</v>
      </c>
      <c r="AJ10" s="436">
        <v>2552</v>
      </c>
      <c r="AK10" s="436">
        <v>62076</v>
      </c>
      <c r="AL10" s="436">
        <v>126379</v>
      </c>
      <c r="AM10" s="436">
        <v>1280796</v>
      </c>
      <c r="AN10" s="436">
        <v>18600</v>
      </c>
      <c r="AO10" s="436">
        <v>0</v>
      </c>
      <c r="AP10" s="436">
        <v>1696536</v>
      </c>
      <c r="AQ10" s="436">
        <v>0</v>
      </c>
      <c r="AR10" s="436">
        <v>495445.50899999996</v>
      </c>
      <c r="AS10" s="436">
        <v>0</v>
      </c>
      <c r="AT10" s="436">
        <v>143741</v>
      </c>
      <c r="AU10" s="436">
        <v>0</v>
      </c>
      <c r="AV10" s="436">
        <v>150426</v>
      </c>
      <c r="AW10" s="429">
        <v>1067987.805</v>
      </c>
      <c r="AX10" s="429">
        <v>0</v>
      </c>
      <c r="AY10" s="436">
        <v>65760.5</v>
      </c>
      <c r="AZ10" s="436">
        <v>381454</v>
      </c>
      <c r="BA10" s="436">
        <v>222391</v>
      </c>
      <c r="BB10" s="436">
        <v>42405.5</v>
      </c>
      <c r="BC10" s="436">
        <v>0</v>
      </c>
      <c r="BD10" s="436">
        <v>1213445</v>
      </c>
      <c r="BE10" s="436">
        <v>108823</v>
      </c>
      <c r="BF10" s="436">
        <v>0</v>
      </c>
      <c r="BG10" s="436">
        <v>0</v>
      </c>
      <c r="BH10" s="436">
        <v>0</v>
      </c>
      <c r="BI10" s="436">
        <v>54322</v>
      </c>
      <c r="BJ10" s="436">
        <v>0</v>
      </c>
      <c r="BK10" s="436">
        <v>200821.522</v>
      </c>
      <c r="BL10" s="436">
        <v>0</v>
      </c>
      <c r="BM10" s="436">
        <v>0</v>
      </c>
      <c r="BN10" s="436">
        <v>180879.884</v>
      </c>
      <c r="BO10" s="436">
        <v>6336</v>
      </c>
      <c r="BP10" s="436">
        <v>275912</v>
      </c>
      <c r="BQ10" s="436">
        <v>5866</v>
      </c>
      <c r="BR10" s="436">
        <v>213915</v>
      </c>
      <c r="BS10" s="436">
        <v>0</v>
      </c>
      <c r="BT10" s="436">
        <v>0</v>
      </c>
      <c r="BU10" s="436">
        <v>10021</v>
      </c>
      <c r="BV10" s="436">
        <v>6157</v>
      </c>
      <c r="BW10" s="436">
        <v>74624.9</v>
      </c>
      <c r="BX10" s="436">
        <v>727374.4</v>
      </c>
      <c r="BY10" s="436">
        <v>0</v>
      </c>
      <c r="BZ10" s="436">
        <v>8644</v>
      </c>
      <c r="CA10" s="436">
        <v>13705</v>
      </c>
      <c r="CB10" s="436">
        <v>0</v>
      </c>
      <c r="CC10" s="436">
        <v>1251</v>
      </c>
      <c r="CD10" s="436">
        <v>23313</v>
      </c>
      <c r="CE10" s="436">
        <v>3100.603</v>
      </c>
      <c r="CF10" s="436">
        <v>0</v>
      </c>
      <c r="CG10" s="436">
        <v>0</v>
      </c>
      <c r="CH10" s="436">
        <v>0</v>
      </c>
      <c r="CI10" s="186"/>
      <c r="CJ10" s="250">
        <f>SUM(C10:CH10)</f>
        <v>68032799.35700002</v>
      </c>
    </row>
    <row r="11" spans="1:88" ht="12.75" customHeight="1">
      <c r="A11" s="186" t="s">
        <v>419</v>
      </c>
      <c r="B11" s="186" t="s">
        <v>451</v>
      </c>
      <c r="C11" s="440">
        <v>17876970.893999998</v>
      </c>
      <c r="D11" s="440">
        <v>10952269.383000001</v>
      </c>
      <c r="E11" s="440">
        <v>695577.394</v>
      </c>
      <c r="F11" s="440">
        <v>304348.151</v>
      </c>
      <c r="G11" s="440">
        <v>0</v>
      </c>
      <c r="H11" s="440">
        <v>23000608</v>
      </c>
      <c r="I11" s="440">
        <v>565589</v>
      </c>
      <c r="J11" s="440">
        <v>19327923.268</v>
      </c>
      <c r="K11" s="440">
        <v>58799</v>
      </c>
      <c r="L11" s="440">
        <v>180521.481</v>
      </c>
      <c r="M11" s="440">
        <v>0</v>
      </c>
      <c r="N11" s="440">
        <v>11187756</v>
      </c>
      <c r="O11" s="440">
        <v>1343754</v>
      </c>
      <c r="P11" s="440">
        <v>81858</v>
      </c>
      <c r="Q11" s="440">
        <v>896527</v>
      </c>
      <c r="R11" s="440">
        <v>15119</v>
      </c>
      <c r="S11" s="440">
        <v>55865</v>
      </c>
      <c r="T11" s="440">
        <v>29552</v>
      </c>
      <c r="U11" s="440">
        <v>1822</v>
      </c>
      <c r="V11" s="440">
        <v>1438667.4959999998</v>
      </c>
      <c r="W11" s="440">
        <v>1563261.74</v>
      </c>
      <c r="X11" s="440">
        <v>0</v>
      </c>
      <c r="Y11" s="440">
        <v>1939702.56</v>
      </c>
      <c r="Z11" s="440">
        <v>6074235.093</v>
      </c>
      <c r="AA11" s="440">
        <v>3859182.758</v>
      </c>
      <c r="AB11" s="440">
        <v>981154.394</v>
      </c>
      <c r="AC11" s="440">
        <v>14661063</v>
      </c>
      <c r="AD11" s="440">
        <v>0</v>
      </c>
      <c r="AE11" s="440">
        <v>0</v>
      </c>
      <c r="AF11" s="440">
        <v>16160361</v>
      </c>
      <c r="AG11" s="440">
        <v>0</v>
      </c>
      <c r="AH11" s="440">
        <v>261068</v>
      </c>
      <c r="AI11" s="440">
        <v>36449</v>
      </c>
      <c r="AJ11" s="440">
        <v>49893</v>
      </c>
      <c r="AK11" s="440">
        <v>426285</v>
      </c>
      <c r="AL11" s="440">
        <v>1781059</v>
      </c>
      <c r="AM11" s="440">
        <v>6607986</v>
      </c>
      <c r="AN11" s="440">
        <v>367303</v>
      </c>
      <c r="AO11" s="440">
        <v>801489</v>
      </c>
      <c r="AP11" s="440">
        <v>4426506</v>
      </c>
      <c r="AQ11" s="440">
        <v>70244</v>
      </c>
      <c r="AR11" s="440">
        <v>7437896.139</v>
      </c>
      <c r="AS11" s="440">
        <v>26329</v>
      </c>
      <c r="AT11" s="440">
        <v>1443869</v>
      </c>
      <c r="AU11" s="440">
        <v>1884928</v>
      </c>
      <c r="AV11" s="440">
        <v>1479483</v>
      </c>
      <c r="AW11" s="435">
        <v>6265457.333099</v>
      </c>
      <c r="AX11" s="435">
        <v>956986.8920065025</v>
      </c>
      <c r="AY11" s="440">
        <v>641434</v>
      </c>
      <c r="AZ11" s="440">
        <v>2852470</v>
      </c>
      <c r="BA11" s="440">
        <v>1945264</v>
      </c>
      <c r="BB11" s="440">
        <v>1689250</v>
      </c>
      <c r="BC11" s="440">
        <v>1144160</v>
      </c>
      <c r="BD11" s="440">
        <v>3163085</v>
      </c>
      <c r="BE11" s="440">
        <v>283668</v>
      </c>
      <c r="BF11" s="440">
        <v>71899</v>
      </c>
      <c r="BG11" s="440">
        <v>13713</v>
      </c>
      <c r="BH11" s="440">
        <v>0</v>
      </c>
      <c r="BI11" s="440">
        <v>4064386</v>
      </c>
      <c r="BJ11" s="440">
        <v>0</v>
      </c>
      <c r="BK11" s="440">
        <v>2087975.3730000001</v>
      </c>
      <c r="BL11" s="440">
        <v>0</v>
      </c>
      <c r="BM11" s="440">
        <v>0</v>
      </c>
      <c r="BN11" s="440">
        <v>2218065.745</v>
      </c>
      <c r="BO11" s="440">
        <v>3497491</v>
      </c>
      <c r="BP11" s="440">
        <v>4105265</v>
      </c>
      <c r="BQ11" s="440">
        <v>374860</v>
      </c>
      <c r="BR11" s="440">
        <v>3108304.5</v>
      </c>
      <c r="BS11" s="440">
        <v>2204526.972</v>
      </c>
      <c r="BT11" s="440">
        <v>268848</v>
      </c>
      <c r="BU11" s="440">
        <v>806302.282</v>
      </c>
      <c r="BV11" s="440">
        <v>88376</v>
      </c>
      <c r="BW11" s="440">
        <v>607056</v>
      </c>
      <c r="BX11" s="440">
        <v>491226.6</v>
      </c>
      <c r="BY11" s="440">
        <v>386384</v>
      </c>
      <c r="BZ11" s="440">
        <v>37939</v>
      </c>
      <c r="CA11" s="440">
        <v>311932</v>
      </c>
      <c r="CB11" s="440">
        <v>194169</v>
      </c>
      <c r="CC11" s="440">
        <v>149375.03</v>
      </c>
      <c r="CD11" s="440">
        <v>48609</v>
      </c>
      <c r="CE11" s="440">
        <v>70770.372</v>
      </c>
      <c r="CF11" s="440">
        <v>54302</v>
      </c>
      <c r="CG11" s="440">
        <v>0</v>
      </c>
      <c r="CH11" s="440">
        <v>0</v>
      </c>
      <c r="CI11" s="186"/>
      <c r="CJ11" s="250">
        <f>SUM(C11:CH11)</f>
        <v>204556825.85010552</v>
      </c>
    </row>
    <row r="12" spans="1:90" s="39" customFormat="1" ht="12.75" customHeight="1">
      <c r="A12" s="250"/>
      <c r="B12" s="419" t="s">
        <v>452</v>
      </c>
      <c r="C12" s="250">
        <f>SUM(C7:C11)</f>
        <v>69267348.279</v>
      </c>
      <c r="D12" s="250">
        <f aca="true" t="shared" si="0" ref="D12:AJ12">SUM(D7:D11)</f>
        <v>40162354.413</v>
      </c>
      <c r="E12" s="250">
        <f t="shared" si="0"/>
        <v>2148671.948</v>
      </c>
      <c r="F12" s="250">
        <f t="shared" si="0"/>
        <v>1017573.963</v>
      </c>
      <c r="G12" s="250">
        <f t="shared" si="0"/>
        <v>0</v>
      </c>
      <c r="H12" s="250">
        <f t="shared" si="0"/>
        <v>89728815</v>
      </c>
      <c r="I12" s="250">
        <f t="shared" si="0"/>
        <v>2206446</v>
      </c>
      <c r="J12" s="250">
        <f t="shared" si="0"/>
        <v>132528103.014</v>
      </c>
      <c r="K12" s="250">
        <f t="shared" si="0"/>
        <v>546593</v>
      </c>
      <c r="L12" s="250">
        <f t="shared" si="0"/>
        <v>821550.1830000001</v>
      </c>
      <c r="M12" s="250">
        <f t="shared" si="0"/>
        <v>0</v>
      </c>
      <c r="N12" s="250">
        <f t="shared" si="0"/>
        <v>33294821</v>
      </c>
      <c r="O12" s="250">
        <f t="shared" si="0"/>
        <v>3999018</v>
      </c>
      <c r="P12" s="250">
        <f t="shared" si="0"/>
        <v>190648</v>
      </c>
      <c r="Q12" s="250">
        <f t="shared" si="0"/>
        <v>2088023</v>
      </c>
      <c r="R12" s="250">
        <f t="shared" si="0"/>
        <v>33414</v>
      </c>
      <c r="S12" s="250">
        <f t="shared" si="0"/>
        <v>125500</v>
      </c>
      <c r="T12" s="250">
        <f t="shared" si="0"/>
        <v>66958</v>
      </c>
      <c r="U12" s="250">
        <f t="shared" si="0"/>
        <v>4243</v>
      </c>
      <c r="V12" s="250">
        <f t="shared" si="0"/>
        <v>4107499.6829999997</v>
      </c>
      <c r="W12" s="250">
        <f t="shared" si="0"/>
        <v>3241382.858</v>
      </c>
      <c r="X12" s="250">
        <f>SUM(X7:X11)</f>
        <v>0</v>
      </c>
      <c r="Y12" s="250">
        <f t="shared" si="0"/>
        <v>7547061.915000001</v>
      </c>
      <c r="Z12" s="250">
        <f t="shared" si="0"/>
        <v>18408181.764</v>
      </c>
      <c r="AA12" s="250">
        <f t="shared" si="0"/>
        <v>7634187.317</v>
      </c>
      <c r="AB12" s="250">
        <f t="shared" si="0"/>
        <v>1585548.629</v>
      </c>
      <c r="AC12" s="250">
        <f>SUM(AC7:AC11)</f>
        <v>56798203</v>
      </c>
      <c r="AD12" s="250">
        <f>SUM(AD7:AD11)</f>
        <v>435556</v>
      </c>
      <c r="AE12" s="250">
        <f>SUM(AE7:AE11)</f>
        <v>886393</v>
      </c>
      <c r="AF12" s="250">
        <f t="shared" si="0"/>
        <v>33254826</v>
      </c>
      <c r="AG12" s="250">
        <f t="shared" si="0"/>
        <v>0</v>
      </c>
      <c r="AH12" s="250">
        <f t="shared" si="0"/>
        <v>306970</v>
      </c>
      <c r="AI12" s="250">
        <f t="shared" si="0"/>
        <v>46169</v>
      </c>
      <c r="AJ12" s="250">
        <f t="shared" si="0"/>
        <v>52445</v>
      </c>
      <c r="AK12" s="250">
        <f>SUM(AK7:AK11)</f>
        <v>877211</v>
      </c>
      <c r="AL12" s="250">
        <f>SUM(AL7:AL11)</f>
        <v>6365299</v>
      </c>
      <c r="AM12" s="250">
        <f>SUM(AM7:AM11)</f>
        <v>22902295</v>
      </c>
      <c r="AN12" s="250">
        <f>SUM(AN7:AN11)</f>
        <v>2270093</v>
      </c>
      <c r="AO12" s="250">
        <f>SUM(AO7:AO11)</f>
        <v>4017029</v>
      </c>
      <c r="AP12" s="250">
        <f aca="true" t="shared" si="1" ref="AP12:AX12">SUM(AP7:AP11)</f>
        <v>34913816</v>
      </c>
      <c r="AQ12" s="250">
        <f t="shared" si="1"/>
        <v>215981</v>
      </c>
      <c r="AR12" s="250">
        <f t="shared" si="1"/>
        <v>30883871.092</v>
      </c>
      <c r="AS12" s="250">
        <f t="shared" si="1"/>
        <v>71782</v>
      </c>
      <c r="AT12" s="250">
        <f t="shared" si="1"/>
        <v>33430501</v>
      </c>
      <c r="AU12" s="250">
        <f t="shared" si="1"/>
        <v>18065015</v>
      </c>
      <c r="AV12" s="250">
        <f t="shared" si="1"/>
        <v>5761186</v>
      </c>
      <c r="AW12" s="250">
        <f t="shared" si="1"/>
        <v>10302777.74298</v>
      </c>
      <c r="AX12" s="250">
        <f t="shared" si="1"/>
        <v>1790936.2782874752</v>
      </c>
      <c r="AY12" s="250">
        <f aca="true" t="shared" si="2" ref="AY12:BH12">SUM(AY7:AY11)</f>
        <v>1370431.5</v>
      </c>
      <c r="AZ12" s="250">
        <f t="shared" si="2"/>
        <v>5864321</v>
      </c>
      <c r="BA12" s="250">
        <f t="shared" si="2"/>
        <v>4295530</v>
      </c>
      <c r="BB12" s="250">
        <f t="shared" si="2"/>
        <v>3534090.5</v>
      </c>
      <c r="BC12" s="250">
        <f t="shared" si="2"/>
        <v>2335560</v>
      </c>
      <c r="BD12" s="250">
        <f t="shared" si="2"/>
        <v>11519777</v>
      </c>
      <c r="BE12" s="250">
        <f t="shared" si="2"/>
        <v>1033103</v>
      </c>
      <c r="BF12" s="250">
        <f t="shared" si="2"/>
        <v>326492</v>
      </c>
      <c r="BG12" s="250">
        <f t="shared" si="2"/>
        <v>81164</v>
      </c>
      <c r="BH12" s="250">
        <f t="shared" si="2"/>
        <v>0</v>
      </c>
      <c r="BI12" s="250">
        <f aca="true" t="shared" si="3" ref="BI12:BU12">SUM(BI7:BI11)</f>
        <v>12805961</v>
      </c>
      <c r="BJ12" s="250">
        <f t="shared" si="3"/>
        <v>231966</v>
      </c>
      <c r="BK12" s="250">
        <f t="shared" si="3"/>
        <v>10555066.713</v>
      </c>
      <c r="BL12" s="250">
        <f t="shared" si="3"/>
        <v>24249.425</v>
      </c>
      <c r="BM12" s="250">
        <f t="shared" si="3"/>
        <v>69118.996</v>
      </c>
      <c r="BN12" s="250">
        <f t="shared" si="3"/>
        <v>9250506.114</v>
      </c>
      <c r="BO12" s="250">
        <f t="shared" si="3"/>
        <v>12085973</v>
      </c>
      <c r="BP12" s="250">
        <f t="shared" si="3"/>
        <v>7464307</v>
      </c>
      <c r="BQ12" s="250">
        <f t="shared" si="3"/>
        <v>9943016</v>
      </c>
      <c r="BR12" s="250">
        <f t="shared" si="3"/>
        <v>6665879.5</v>
      </c>
      <c r="BS12" s="250">
        <f t="shared" si="3"/>
        <v>6259230.614</v>
      </c>
      <c r="BT12" s="250">
        <f t="shared" si="3"/>
        <v>4050371</v>
      </c>
      <c r="BU12" s="250">
        <f t="shared" si="3"/>
        <v>2003833</v>
      </c>
      <c r="BV12" s="250">
        <f aca="true" t="shared" si="4" ref="BV12:CE12">SUM(BV7:BV11)</f>
        <v>183945</v>
      </c>
      <c r="BW12" s="250">
        <f t="shared" si="4"/>
        <v>1383035.8</v>
      </c>
      <c r="BX12" s="250">
        <f t="shared" si="4"/>
        <v>1948179.1</v>
      </c>
      <c r="BY12" s="250">
        <f t="shared" si="4"/>
        <v>838342</v>
      </c>
      <c r="BZ12" s="250">
        <f t="shared" si="4"/>
        <v>351422</v>
      </c>
      <c r="CA12" s="250">
        <f t="shared" si="4"/>
        <v>748400</v>
      </c>
      <c r="CB12" s="250">
        <f t="shared" si="4"/>
        <v>218172</v>
      </c>
      <c r="CC12" s="250">
        <f t="shared" si="4"/>
        <v>401608.50100000005</v>
      </c>
      <c r="CD12" s="250">
        <f t="shared" si="4"/>
        <v>380680</v>
      </c>
      <c r="CE12" s="250">
        <f t="shared" si="4"/>
        <v>333425.625</v>
      </c>
      <c r="CF12" s="250">
        <f>SUM(CF7:CF11)</f>
        <v>115251</v>
      </c>
      <c r="CG12" s="250">
        <f>SUM(CG7:CG11)</f>
        <v>0</v>
      </c>
      <c r="CH12" s="250">
        <f>SUM(CH7:CH11)</f>
        <v>12046</v>
      </c>
      <c r="CI12" s="250"/>
      <c r="CJ12" s="250">
        <f>SUM(CJ7:CJ11)</f>
        <v>803086752.4672675</v>
      </c>
      <c r="CK12" s="27"/>
      <c r="CL12" s="27"/>
    </row>
    <row r="13" spans="1:88" ht="12.7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250"/>
    </row>
    <row r="14" spans="1:88" ht="12.75" customHeight="1">
      <c r="A14" s="250" t="s">
        <v>453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250"/>
    </row>
    <row r="15" spans="1:88" ht="12.75" customHeight="1">
      <c r="A15" s="250"/>
      <c r="B15" s="186" t="s">
        <v>447</v>
      </c>
      <c r="C15" s="439">
        <v>4699414.154</v>
      </c>
      <c r="D15" s="439">
        <v>0</v>
      </c>
      <c r="E15" s="439">
        <v>0</v>
      </c>
      <c r="F15" s="439">
        <v>0</v>
      </c>
      <c r="G15" s="439">
        <v>0</v>
      </c>
      <c r="H15" s="439">
        <v>0</v>
      </c>
      <c r="I15" s="439">
        <v>0</v>
      </c>
      <c r="J15" s="439">
        <v>2384634.501000002</v>
      </c>
      <c r="K15" s="439">
        <v>0</v>
      </c>
      <c r="L15" s="439">
        <v>0</v>
      </c>
      <c r="M15" s="439">
        <v>0</v>
      </c>
      <c r="N15" s="439">
        <v>266334</v>
      </c>
      <c r="O15" s="439">
        <v>31989</v>
      </c>
      <c r="P15" s="439">
        <v>0</v>
      </c>
      <c r="Q15" s="439">
        <v>0</v>
      </c>
      <c r="R15" s="439">
        <v>0</v>
      </c>
      <c r="S15" s="439">
        <v>0</v>
      </c>
      <c r="T15" s="439">
        <v>0</v>
      </c>
      <c r="U15" s="439">
        <v>0</v>
      </c>
      <c r="V15" s="439">
        <v>27911.987</v>
      </c>
      <c r="W15" s="439">
        <v>22847.366</v>
      </c>
      <c r="X15" s="439">
        <v>0</v>
      </c>
      <c r="Y15" s="439">
        <v>30455.653</v>
      </c>
      <c r="Z15" s="439">
        <v>119792.10800000001</v>
      </c>
      <c r="AA15" s="439">
        <v>51459.263999999996</v>
      </c>
      <c r="AB15" s="439">
        <v>8093.599</v>
      </c>
      <c r="AC15" s="439">
        <v>0</v>
      </c>
      <c r="AD15" s="439">
        <v>0</v>
      </c>
      <c r="AE15" s="439">
        <v>0</v>
      </c>
      <c r="AF15" s="439">
        <v>232165</v>
      </c>
      <c r="AG15" s="439">
        <v>0</v>
      </c>
      <c r="AH15" s="439">
        <v>0</v>
      </c>
      <c r="AI15" s="439">
        <v>0</v>
      </c>
      <c r="AJ15" s="439">
        <v>0</v>
      </c>
      <c r="AK15" s="439">
        <v>6124</v>
      </c>
      <c r="AL15" s="439">
        <v>3488</v>
      </c>
      <c r="AM15" s="439">
        <v>52569</v>
      </c>
      <c r="AN15" s="439">
        <v>1555</v>
      </c>
      <c r="AO15" s="439">
        <v>0</v>
      </c>
      <c r="AP15" s="439">
        <v>11956</v>
      </c>
      <c r="AQ15" s="439">
        <v>0</v>
      </c>
      <c r="AR15" s="439">
        <v>8772.080000000075</v>
      </c>
      <c r="AS15" s="439">
        <v>158</v>
      </c>
      <c r="AT15" s="439">
        <v>0</v>
      </c>
      <c r="AU15" s="439">
        <v>2102983</v>
      </c>
      <c r="AV15" s="439">
        <v>2450</v>
      </c>
      <c r="AW15" s="434">
        <v>76378.491</v>
      </c>
      <c r="AX15" s="434">
        <v>0</v>
      </c>
      <c r="AY15" s="439">
        <v>0</v>
      </c>
      <c r="AZ15" s="439">
        <v>0</v>
      </c>
      <c r="BA15" s="439">
        <v>0</v>
      </c>
      <c r="BB15" s="439">
        <v>0</v>
      </c>
      <c r="BC15" s="439">
        <v>0</v>
      </c>
      <c r="BD15" s="439">
        <v>32826</v>
      </c>
      <c r="BE15" s="439">
        <v>2944</v>
      </c>
      <c r="BF15" s="439">
        <v>269</v>
      </c>
      <c r="BG15" s="439">
        <v>38</v>
      </c>
      <c r="BH15" s="439">
        <v>0</v>
      </c>
      <c r="BI15" s="439">
        <v>3349</v>
      </c>
      <c r="BJ15" s="439">
        <v>0</v>
      </c>
      <c r="BK15" s="439">
        <v>29632.317</v>
      </c>
      <c r="BL15" s="439">
        <v>0</v>
      </c>
      <c r="BM15" s="439">
        <v>0</v>
      </c>
      <c r="BN15" s="439">
        <v>67573.576</v>
      </c>
      <c r="BO15" s="439">
        <v>417043</v>
      </c>
      <c r="BP15" s="439">
        <v>0</v>
      </c>
      <c r="BQ15" s="439">
        <v>707183</v>
      </c>
      <c r="BR15" s="439">
        <v>2291</v>
      </c>
      <c r="BS15" s="439">
        <v>6378.899</v>
      </c>
      <c r="BT15" s="439">
        <v>0</v>
      </c>
      <c r="BU15" s="439">
        <v>850559</v>
      </c>
      <c r="BV15" s="439">
        <v>0</v>
      </c>
      <c r="BW15" s="439">
        <v>0</v>
      </c>
      <c r="BX15" s="439">
        <v>0</v>
      </c>
      <c r="BY15" s="439">
        <v>0</v>
      </c>
      <c r="BZ15" s="439">
        <v>0</v>
      </c>
      <c r="CA15" s="439">
        <v>0</v>
      </c>
      <c r="CB15" s="439">
        <v>0</v>
      </c>
      <c r="CC15" s="439">
        <v>0</v>
      </c>
      <c r="CD15" s="439">
        <v>0</v>
      </c>
      <c r="CE15" s="439">
        <v>0</v>
      </c>
      <c r="CF15" s="439">
        <v>0</v>
      </c>
      <c r="CG15" s="439">
        <v>0</v>
      </c>
      <c r="CH15" s="439">
        <v>0</v>
      </c>
      <c r="CI15" s="186"/>
      <c r="CJ15" s="250">
        <f aca="true" t="shared" si="5" ref="CJ15:CJ20">SUM(C15:CH15)</f>
        <v>12261616.995000003</v>
      </c>
    </row>
    <row r="16" spans="1:88" ht="12.75" customHeight="1">
      <c r="A16" s="186" t="s">
        <v>419</v>
      </c>
      <c r="B16" s="186" t="s">
        <v>448</v>
      </c>
      <c r="C16" s="422">
        <v>2924482.758</v>
      </c>
      <c r="D16" s="422">
        <v>1051078.229</v>
      </c>
      <c r="E16" s="422">
        <v>0</v>
      </c>
      <c r="F16" s="422">
        <v>0</v>
      </c>
      <c r="G16" s="422">
        <v>0</v>
      </c>
      <c r="H16" s="422">
        <v>248997</v>
      </c>
      <c r="I16" s="422">
        <v>6123</v>
      </c>
      <c r="J16" s="422">
        <v>1356676.184</v>
      </c>
      <c r="K16" s="422">
        <v>0</v>
      </c>
      <c r="L16" s="422">
        <v>0</v>
      </c>
      <c r="M16" s="422">
        <v>0</v>
      </c>
      <c r="N16" s="422">
        <v>417850</v>
      </c>
      <c r="O16" s="422">
        <v>50188</v>
      </c>
      <c r="P16" s="422">
        <v>0</v>
      </c>
      <c r="Q16" s="422">
        <v>0</v>
      </c>
      <c r="R16" s="422">
        <v>0</v>
      </c>
      <c r="S16" s="422">
        <v>0</v>
      </c>
      <c r="T16" s="422">
        <v>0</v>
      </c>
      <c r="U16" s="422">
        <v>0</v>
      </c>
      <c r="V16" s="422">
        <v>36093.434</v>
      </c>
      <c r="W16" s="422">
        <v>16755.138</v>
      </c>
      <c r="X16" s="422">
        <v>0</v>
      </c>
      <c r="Y16" s="422">
        <v>34870.239</v>
      </c>
      <c r="Z16" s="422">
        <v>161276.785</v>
      </c>
      <c r="AA16" s="422">
        <v>28187.223</v>
      </c>
      <c r="AB16" s="422">
        <v>803.6579999999999</v>
      </c>
      <c r="AC16" s="422">
        <v>0</v>
      </c>
      <c r="AD16" s="422">
        <v>0</v>
      </c>
      <c r="AE16" s="422">
        <v>0</v>
      </c>
      <c r="AF16" s="422">
        <v>167935</v>
      </c>
      <c r="AG16" s="422">
        <v>0</v>
      </c>
      <c r="AH16" s="422">
        <v>0</v>
      </c>
      <c r="AI16" s="422">
        <v>0</v>
      </c>
      <c r="AJ16" s="422">
        <v>0</v>
      </c>
      <c r="AK16" s="422">
        <v>4430</v>
      </c>
      <c r="AL16" s="422">
        <v>59077</v>
      </c>
      <c r="AM16" s="422">
        <v>39772</v>
      </c>
      <c r="AN16" s="422">
        <v>177</v>
      </c>
      <c r="AO16" s="422">
        <v>0</v>
      </c>
      <c r="AP16" s="422">
        <v>193761</v>
      </c>
      <c r="AQ16" s="422">
        <v>0</v>
      </c>
      <c r="AR16" s="422">
        <v>187372.0049999999</v>
      </c>
      <c r="AS16" s="422">
        <v>28</v>
      </c>
      <c r="AT16" s="422">
        <v>90</v>
      </c>
      <c r="AU16" s="422">
        <v>18922</v>
      </c>
      <c r="AV16" s="422">
        <v>3056</v>
      </c>
      <c r="AW16" s="431">
        <v>31906.209</v>
      </c>
      <c r="AX16" s="431">
        <v>0</v>
      </c>
      <c r="AY16" s="422">
        <v>9285</v>
      </c>
      <c r="AZ16" s="422">
        <v>9949</v>
      </c>
      <c r="BA16" s="422">
        <v>6900</v>
      </c>
      <c r="BB16" s="422">
        <v>20941.5</v>
      </c>
      <c r="BC16" s="422">
        <v>3883</v>
      </c>
      <c r="BD16" s="422">
        <v>92266</v>
      </c>
      <c r="BE16" s="422">
        <v>8274</v>
      </c>
      <c r="BF16" s="422">
        <v>41</v>
      </c>
      <c r="BG16" s="422">
        <v>18</v>
      </c>
      <c r="BH16" s="422">
        <v>0</v>
      </c>
      <c r="BI16" s="422">
        <v>272363</v>
      </c>
      <c r="BJ16" s="422">
        <v>0</v>
      </c>
      <c r="BK16" s="422">
        <v>88091.164</v>
      </c>
      <c r="BL16" s="422">
        <v>0</v>
      </c>
      <c r="BM16" s="422">
        <v>0</v>
      </c>
      <c r="BN16" s="422">
        <v>262092.894</v>
      </c>
      <c r="BO16" s="422">
        <v>251580</v>
      </c>
      <c r="BP16" s="422">
        <v>27547</v>
      </c>
      <c r="BQ16" s="422">
        <v>138319</v>
      </c>
      <c r="BR16" s="422">
        <v>23831</v>
      </c>
      <c r="BS16" s="422">
        <v>46005.037000000004</v>
      </c>
      <c r="BT16" s="422">
        <v>16785</v>
      </c>
      <c r="BU16" s="422">
        <v>440</v>
      </c>
      <c r="BV16" s="422">
        <v>370</v>
      </c>
      <c r="BW16" s="422">
        <v>3146.6</v>
      </c>
      <c r="BX16" s="422">
        <v>0</v>
      </c>
      <c r="BY16" s="422">
        <v>3752</v>
      </c>
      <c r="BZ16" s="422">
        <v>11</v>
      </c>
      <c r="CA16" s="422">
        <v>8725</v>
      </c>
      <c r="CB16" s="422">
        <v>59483</v>
      </c>
      <c r="CC16" s="422">
        <v>0</v>
      </c>
      <c r="CD16" s="422">
        <v>0</v>
      </c>
      <c r="CE16" s="422">
        <v>0.066</v>
      </c>
      <c r="CF16" s="422">
        <v>28381</v>
      </c>
      <c r="CG16" s="422">
        <v>0</v>
      </c>
      <c r="CH16" s="422">
        <v>0</v>
      </c>
      <c r="CI16" s="186"/>
      <c r="CJ16" s="250">
        <f t="shared" si="5"/>
        <v>8422388.123</v>
      </c>
    </row>
    <row r="17" spans="1:88" ht="12.75" customHeight="1">
      <c r="A17" s="186"/>
      <c r="B17" s="186" t="s">
        <v>449</v>
      </c>
      <c r="C17" s="415">
        <v>1175748.441</v>
      </c>
      <c r="D17" s="415">
        <v>248507.367</v>
      </c>
      <c r="E17" s="415">
        <v>0</v>
      </c>
      <c r="F17" s="415">
        <v>0</v>
      </c>
      <c r="G17" s="415">
        <v>0</v>
      </c>
      <c r="H17" s="415">
        <v>3730160</v>
      </c>
      <c r="I17" s="415">
        <v>91725</v>
      </c>
      <c r="J17" s="415">
        <v>3421133.170999998</v>
      </c>
      <c r="K17" s="415">
        <v>0</v>
      </c>
      <c r="L17" s="415">
        <v>0</v>
      </c>
      <c r="M17" s="415">
        <v>0</v>
      </c>
      <c r="N17" s="415">
        <v>223612</v>
      </c>
      <c r="O17" s="415">
        <v>26858</v>
      </c>
      <c r="P17" s="415">
        <v>0</v>
      </c>
      <c r="Q17" s="415">
        <v>0</v>
      </c>
      <c r="R17" s="415">
        <v>0</v>
      </c>
      <c r="S17" s="415">
        <v>0</v>
      </c>
      <c r="T17" s="415">
        <v>0</v>
      </c>
      <c r="U17" s="415">
        <v>0</v>
      </c>
      <c r="V17" s="415">
        <v>56577.826</v>
      </c>
      <c r="W17" s="415">
        <v>44130.162000000004</v>
      </c>
      <c r="X17" s="415">
        <v>0</v>
      </c>
      <c r="Y17" s="415">
        <v>60964.10399999999</v>
      </c>
      <c r="Z17" s="415">
        <v>243906.499</v>
      </c>
      <c r="AA17" s="415">
        <v>97765.47200000001</v>
      </c>
      <c r="AB17" s="415">
        <v>15050.183</v>
      </c>
      <c r="AC17" s="415">
        <v>56998</v>
      </c>
      <c r="AD17" s="415">
        <v>0</v>
      </c>
      <c r="AE17" s="415">
        <v>0</v>
      </c>
      <c r="AF17" s="415">
        <v>278328</v>
      </c>
      <c r="AG17" s="415">
        <v>0</v>
      </c>
      <c r="AH17" s="415">
        <v>31391</v>
      </c>
      <c r="AI17" s="415">
        <v>4383</v>
      </c>
      <c r="AJ17" s="415">
        <v>0</v>
      </c>
      <c r="AK17" s="415">
        <v>7342</v>
      </c>
      <c r="AL17" s="415">
        <v>40584</v>
      </c>
      <c r="AM17" s="415">
        <v>23059</v>
      </c>
      <c r="AN17" s="415">
        <v>1803</v>
      </c>
      <c r="AO17" s="415">
        <v>390455</v>
      </c>
      <c r="AP17" s="415">
        <v>66959</v>
      </c>
      <c r="AQ17" s="415">
        <v>0</v>
      </c>
      <c r="AR17" s="415">
        <v>460485.3130000001</v>
      </c>
      <c r="AS17" s="415">
        <v>117</v>
      </c>
      <c r="AT17" s="415">
        <v>55855</v>
      </c>
      <c r="AU17" s="415">
        <v>55954</v>
      </c>
      <c r="AV17" s="415">
        <v>167922</v>
      </c>
      <c r="AW17" s="428">
        <v>390895.422</v>
      </c>
      <c r="AX17" s="428">
        <v>0</v>
      </c>
      <c r="AY17" s="415">
        <v>18632</v>
      </c>
      <c r="AZ17" s="415">
        <v>79294</v>
      </c>
      <c r="BA17" s="415">
        <v>68545</v>
      </c>
      <c r="BB17" s="415">
        <v>27955</v>
      </c>
      <c r="BC17" s="415">
        <v>18274</v>
      </c>
      <c r="BD17" s="415">
        <v>313635</v>
      </c>
      <c r="BE17" s="415">
        <v>28127</v>
      </c>
      <c r="BF17" s="415">
        <v>311</v>
      </c>
      <c r="BG17" s="415">
        <v>45</v>
      </c>
      <c r="BH17" s="415">
        <v>0</v>
      </c>
      <c r="BI17" s="415">
        <v>517271</v>
      </c>
      <c r="BJ17" s="415">
        <v>0</v>
      </c>
      <c r="BK17" s="415">
        <v>673232.391</v>
      </c>
      <c r="BL17" s="415">
        <v>0</v>
      </c>
      <c r="BM17" s="415">
        <v>0</v>
      </c>
      <c r="BN17" s="415">
        <v>252517.804</v>
      </c>
      <c r="BO17" s="415">
        <v>463508</v>
      </c>
      <c r="BP17" s="415">
        <v>133575</v>
      </c>
      <c r="BQ17" s="415">
        <v>201262</v>
      </c>
      <c r="BR17" s="415">
        <v>156797</v>
      </c>
      <c r="BS17" s="415">
        <v>43539.028999999995</v>
      </c>
      <c r="BT17" s="415">
        <v>0</v>
      </c>
      <c r="BU17" s="415">
        <v>80110</v>
      </c>
      <c r="BV17" s="415">
        <v>1252</v>
      </c>
      <c r="BW17" s="415">
        <v>8657</v>
      </c>
      <c r="BX17" s="415">
        <v>0</v>
      </c>
      <c r="BY17" s="415">
        <v>53268</v>
      </c>
      <c r="BZ17" s="415">
        <v>28240</v>
      </c>
      <c r="CA17" s="415">
        <v>28045</v>
      </c>
      <c r="CB17" s="415">
        <v>29064</v>
      </c>
      <c r="CC17" s="415">
        <v>0</v>
      </c>
      <c r="CD17" s="415">
        <v>18321</v>
      </c>
      <c r="CE17" s="415">
        <v>0</v>
      </c>
      <c r="CF17" s="415">
        <v>1215</v>
      </c>
      <c r="CG17" s="415">
        <v>0</v>
      </c>
      <c r="CH17" s="415">
        <v>0</v>
      </c>
      <c r="CI17" s="186"/>
      <c r="CJ17" s="250">
        <f t="shared" si="5"/>
        <v>14713361.183999998</v>
      </c>
    </row>
    <row r="18" spans="1:88" ht="12.75" customHeight="1">
      <c r="A18" s="186" t="s">
        <v>419</v>
      </c>
      <c r="B18" s="186" t="s">
        <v>450</v>
      </c>
      <c r="C18" s="424">
        <v>1941743.501</v>
      </c>
      <c r="D18" s="424">
        <v>1234173.958</v>
      </c>
      <c r="E18" s="424">
        <v>32986.169</v>
      </c>
      <c r="F18" s="424">
        <v>1661.805</v>
      </c>
      <c r="G18" s="424">
        <v>0</v>
      </c>
      <c r="H18" s="424">
        <v>4249266</v>
      </c>
      <c r="I18" s="424">
        <v>104490</v>
      </c>
      <c r="J18" s="424">
        <v>15141835.525</v>
      </c>
      <c r="K18" s="424">
        <v>0</v>
      </c>
      <c r="L18" s="424">
        <v>0</v>
      </c>
      <c r="M18" s="424">
        <v>0</v>
      </c>
      <c r="N18" s="424">
        <v>887051</v>
      </c>
      <c r="O18" s="424">
        <v>106543</v>
      </c>
      <c r="P18" s="424">
        <v>0</v>
      </c>
      <c r="Q18" s="424">
        <v>0</v>
      </c>
      <c r="R18" s="424">
        <v>0</v>
      </c>
      <c r="S18" s="424">
        <v>0</v>
      </c>
      <c r="T18" s="424">
        <v>0</v>
      </c>
      <c r="U18" s="424">
        <v>0</v>
      </c>
      <c r="V18" s="424">
        <v>53387.029</v>
      </c>
      <c r="W18" s="424">
        <v>0</v>
      </c>
      <c r="X18" s="424">
        <v>0</v>
      </c>
      <c r="Y18" s="424">
        <v>206154.693</v>
      </c>
      <c r="Z18" s="424">
        <v>394345.018</v>
      </c>
      <c r="AA18" s="424">
        <v>35465.267</v>
      </c>
      <c r="AB18" s="424">
        <v>0</v>
      </c>
      <c r="AC18" s="424">
        <v>1982731</v>
      </c>
      <c r="AD18" s="424">
        <v>0</v>
      </c>
      <c r="AE18" s="424">
        <v>0</v>
      </c>
      <c r="AF18" s="424">
        <v>1075070</v>
      </c>
      <c r="AG18" s="424">
        <v>0</v>
      </c>
      <c r="AH18" s="424">
        <v>0</v>
      </c>
      <c r="AI18" s="424">
        <v>0</v>
      </c>
      <c r="AJ18" s="424">
        <v>0</v>
      </c>
      <c r="AK18" s="424">
        <v>28359</v>
      </c>
      <c r="AL18" s="424">
        <v>491573</v>
      </c>
      <c r="AM18" s="424">
        <v>752539</v>
      </c>
      <c r="AN18" s="424">
        <v>104246</v>
      </c>
      <c r="AO18" s="424">
        <v>0</v>
      </c>
      <c r="AP18" s="424">
        <v>0</v>
      </c>
      <c r="AQ18" s="424">
        <v>0</v>
      </c>
      <c r="AR18" s="424">
        <v>738056.3169999999</v>
      </c>
      <c r="AS18" s="424">
        <v>0</v>
      </c>
      <c r="AT18" s="424">
        <v>0</v>
      </c>
      <c r="AU18" s="424">
        <v>0</v>
      </c>
      <c r="AV18" s="424">
        <v>440565</v>
      </c>
      <c r="AW18" s="417">
        <v>175035.274</v>
      </c>
      <c r="AX18" s="417">
        <v>0</v>
      </c>
      <c r="AY18" s="424">
        <v>80689</v>
      </c>
      <c r="AZ18" s="424">
        <v>346728</v>
      </c>
      <c r="BA18" s="424">
        <v>252729</v>
      </c>
      <c r="BB18" s="424">
        <v>84284.5</v>
      </c>
      <c r="BC18" s="424">
        <v>0</v>
      </c>
      <c r="BD18" s="424">
        <v>0</v>
      </c>
      <c r="BE18" s="424">
        <v>0</v>
      </c>
      <c r="BF18" s="424">
        <v>2295</v>
      </c>
      <c r="BG18" s="424">
        <v>288</v>
      </c>
      <c r="BH18" s="424">
        <v>0</v>
      </c>
      <c r="BI18" s="424">
        <v>7369</v>
      </c>
      <c r="BJ18" s="424">
        <v>0</v>
      </c>
      <c r="BK18" s="424">
        <v>678934.356</v>
      </c>
      <c r="BL18" s="424">
        <v>0</v>
      </c>
      <c r="BM18" s="424">
        <v>0</v>
      </c>
      <c r="BN18" s="424">
        <v>266132.23</v>
      </c>
      <c r="BO18" s="424">
        <v>75107</v>
      </c>
      <c r="BP18" s="424">
        <v>350695.5</v>
      </c>
      <c r="BQ18" s="424">
        <v>4382</v>
      </c>
      <c r="BR18" s="424">
        <v>255204</v>
      </c>
      <c r="BS18" s="424">
        <v>0</v>
      </c>
      <c r="BT18" s="424">
        <v>0</v>
      </c>
      <c r="BU18" s="424">
        <v>18358</v>
      </c>
      <c r="BV18" s="424">
        <v>5081</v>
      </c>
      <c r="BW18" s="424">
        <v>76439.9</v>
      </c>
      <c r="BX18" s="424">
        <v>0</v>
      </c>
      <c r="BY18" s="424">
        <v>0</v>
      </c>
      <c r="BZ18" s="424">
        <v>1466</v>
      </c>
      <c r="CA18" s="424">
        <v>3774</v>
      </c>
      <c r="CB18" s="424">
        <v>5327</v>
      </c>
      <c r="CC18" s="424">
        <v>0</v>
      </c>
      <c r="CD18" s="424">
        <v>0</v>
      </c>
      <c r="CE18" s="424">
        <v>0</v>
      </c>
      <c r="CF18" s="424">
        <v>0</v>
      </c>
      <c r="CG18" s="424">
        <v>0</v>
      </c>
      <c r="CH18" s="424">
        <v>0</v>
      </c>
      <c r="CI18" s="186"/>
      <c r="CJ18" s="250">
        <f t="shared" si="5"/>
        <v>32692561.042</v>
      </c>
    </row>
    <row r="19" spans="1:88" ht="12.75" customHeight="1">
      <c r="A19" s="186" t="s">
        <v>419</v>
      </c>
      <c r="B19" s="186" t="s">
        <v>451</v>
      </c>
      <c r="C19" s="423">
        <v>2287617.696</v>
      </c>
      <c r="D19" s="423">
        <v>1569958.673</v>
      </c>
      <c r="E19" s="423">
        <v>78194.446</v>
      </c>
      <c r="F19" s="423">
        <v>33222.124</v>
      </c>
      <c r="G19" s="423">
        <v>0</v>
      </c>
      <c r="H19" s="423">
        <v>16899</v>
      </c>
      <c r="I19" s="423">
        <v>416</v>
      </c>
      <c r="J19" s="423">
        <v>822411.4849999994</v>
      </c>
      <c r="K19" s="423">
        <v>0</v>
      </c>
      <c r="L19" s="423">
        <v>0</v>
      </c>
      <c r="M19" s="423">
        <v>0</v>
      </c>
      <c r="N19" s="423">
        <v>707330</v>
      </c>
      <c r="O19" s="423">
        <v>84957</v>
      </c>
      <c r="P19" s="423">
        <v>16324</v>
      </c>
      <c r="Q19" s="423">
        <v>178788</v>
      </c>
      <c r="R19" s="423">
        <v>2628</v>
      </c>
      <c r="S19" s="423">
        <v>10149</v>
      </c>
      <c r="T19" s="423">
        <v>5491</v>
      </c>
      <c r="U19" s="423">
        <v>363</v>
      </c>
      <c r="V19" s="423">
        <v>202055.87099999998</v>
      </c>
      <c r="W19" s="423">
        <v>180783.513</v>
      </c>
      <c r="X19" s="423">
        <v>0</v>
      </c>
      <c r="Y19" s="423">
        <v>363006.152</v>
      </c>
      <c r="Z19" s="423">
        <v>892166.781</v>
      </c>
      <c r="AA19" s="423">
        <v>437674.983</v>
      </c>
      <c r="AB19" s="423">
        <v>145040.621</v>
      </c>
      <c r="AC19" s="423">
        <v>2244122</v>
      </c>
      <c r="AD19" s="423">
        <v>30609</v>
      </c>
      <c r="AE19" s="423">
        <v>58123</v>
      </c>
      <c r="AF19" s="423">
        <v>2631653</v>
      </c>
      <c r="AG19" s="423">
        <v>0</v>
      </c>
      <c r="AH19" s="423">
        <v>1156</v>
      </c>
      <c r="AI19" s="423">
        <v>159</v>
      </c>
      <c r="AJ19" s="423">
        <v>7631</v>
      </c>
      <c r="AK19" s="423">
        <v>69419</v>
      </c>
      <c r="AL19" s="423">
        <v>93362</v>
      </c>
      <c r="AM19" s="423">
        <v>642553</v>
      </c>
      <c r="AN19" s="423">
        <v>58542</v>
      </c>
      <c r="AO19" s="423">
        <v>118835</v>
      </c>
      <c r="AP19" s="423">
        <v>25410</v>
      </c>
      <c r="AQ19" s="423">
        <v>0</v>
      </c>
      <c r="AR19" s="423">
        <v>181550.31600000057</v>
      </c>
      <c r="AS19" s="423">
        <v>4745</v>
      </c>
      <c r="AT19" s="423">
        <v>54480</v>
      </c>
      <c r="AU19" s="423">
        <v>136814</v>
      </c>
      <c r="AV19" s="423">
        <v>241008</v>
      </c>
      <c r="AW19" s="425">
        <v>951561.917</v>
      </c>
      <c r="AX19" s="425">
        <v>0</v>
      </c>
      <c r="AY19" s="423">
        <v>166293</v>
      </c>
      <c r="AZ19" s="423">
        <v>686247</v>
      </c>
      <c r="BA19" s="423">
        <v>469980.5</v>
      </c>
      <c r="BB19" s="423">
        <v>520339</v>
      </c>
      <c r="BC19" s="423">
        <v>288749</v>
      </c>
      <c r="BD19" s="423">
        <v>579675</v>
      </c>
      <c r="BE19" s="423">
        <v>51986</v>
      </c>
      <c r="BF19" s="423">
        <v>7546</v>
      </c>
      <c r="BG19" s="423">
        <v>1179</v>
      </c>
      <c r="BH19" s="423">
        <v>0</v>
      </c>
      <c r="BI19" s="423">
        <v>54230</v>
      </c>
      <c r="BJ19" s="423">
        <v>0</v>
      </c>
      <c r="BK19" s="423">
        <v>175381.03</v>
      </c>
      <c r="BL19" s="423">
        <v>0</v>
      </c>
      <c r="BM19" s="423">
        <v>0</v>
      </c>
      <c r="BN19" s="423">
        <v>316104.61</v>
      </c>
      <c r="BO19" s="423">
        <v>451019</v>
      </c>
      <c r="BP19" s="423">
        <v>702213.5</v>
      </c>
      <c r="BQ19" s="423">
        <v>27705</v>
      </c>
      <c r="BR19" s="423">
        <v>554559</v>
      </c>
      <c r="BS19" s="423">
        <v>288234.99100000004</v>
      </c>
      <c r="BT19" s="423">
        <v>676832</v>
      </c>
      <c r="BU19" s="423">
        <v>132484</v>
      </c>
      <c r="BV19" s="423">
        <v>10252</v>
      </c>
      <c r="BW19" s="423">
        <v>128299</v>
      </c>
      <c r="BX19" s="423">
        <v>47526.1</v>
      </c>
      <c r="BY19" s="423">
        <v>33205</v>
      </c>
      <c r="BZ19" s="423">
        <v>83011</v>
      </c>
      <c r="CA19" s="423">
        <v>45900</v>
      </c>
      <c r="CB19" s="423">
        <v>0</v>
      </c>
      <c r="CC19" s="423">
        <v>3262</v>
      </c>
      <c r="CD19" s="423">
        <v>18943</v>
      </c>
      <c r="CE19" s="423">
        <v>623.748</v>
      </c>
      <c r="CF19" s="423">
        <v>13127</v>
      </c>
      <c r="CG19" s="423">
        <v>0</v>
      </c>
      <c r="CH19" s="423">
        <v>0</v>
      </c>
      <c r="CI19" s="186"/>
      <c r="CJ19" s="250">
        <f t="shared" si="5"/>
        <v>22122117.057</v>
      </c>
    </row>
    <row r="20" spans="1:88" ht="12.75" customHeight="1">
      <c r="A20" s="186" t="s">
        <v>419</v>
      </c>
      <c r="B20" s="186" t="s">
        <v>454</v>
      </c>
      <c r="C20" s="430">
        <v>27864886.596</v>
      </c>
      <c r="D20" s="430">
        <v>15590344.432</v>
      </c>
      <c r="E20" s="430">
        <v>1594.055</v>
      </c>
      <c r="F20" s="430">
        <v>701.73</v>
      </c>
      <c r="G20" s="430">
        <v>0</v>
      </c>
      <c r="H20" s="430">
        <v>34159174</v>
      </c>
      <c r="I20" s="430">
        <v>839980</v>
      </c>
      <c r="J20" s="430">
        <v>10598961</v>
      </c>
      <c r="K20" s="430">
        <v>0</v>
      </c>
      <c r="L20" s="430">
        <v>0</v>
      </c>
      <c r="M20" s="430">
        <v>0</v>
      </c>
      <c r="N20" s="430">
        <v>9886670</v>
      </c>
      <c r="O20" s="430">
        <v>1187481</v>
      </c>
      <c r="P20" s="430">
        <v>16322</v>
      </c>
      <c r="Q20" s="430">
        <v>178760</v>
      </c>
      <c r="R20" s="430">
        <v>3055</v>
      </c>
      <c r="S20" s="430">
        <v>11242</v>
      </c>
      <c r="T20" s="430">
        <v>5934</v>
      </c>
      <c r="U20" s="430">
        <v>363</v>
      </c>
      <c r="V20" s="430">
        <v>1269588.068</v>
      </c>
      <c r="W20" s="430">
        <v>551945.875</v>
      </c>
      <c r="X20" s="430">
        <v>0</v>
      </c>
      <c r="Y20" s="430">
        <v>1213360.155</v>
      </c>
      <c r="Z20" s="430">
        <v>5691559.175</v>
      </c>
      <c r="AA20" s="430">
        <v>879271.14</v>
      </c>
      <c r="AB20" s="430">
        <v>0</v>
      </c>
      <c r="AC20" s="430">
        <v>1253927</v>
      </c>
      <c r="AD20" s="430">
        <v>0</v>
      </c>
      <c r="AE20" s="430">
        <v>0</v>
      </c>
      <c r="AF20" s="430">
        <v>10447501</v>
      </c>
      <c r="AG20" s="430">
        <v>0</v>
      </c>
      <c r="AH20" s="430">
        <v>468800</v>
      </c>
      <c r="AI20" s="430">
        <v>65447</v>
      </c>
      <c r="AJ20" s="430">
        <v>0</v>
      </c>
      <c r="AK20" s="430">
        <v>275589</v>
      </c>
      <c r="AL20" s="430">
        <v>24001</v>
      </c>
      <c r="AM20" s="430">
        <v>528981</v>
      </c>
      <c r="AN20" s="430">
        <v>0</v>
      </c>
      <c r="AO20" s="430">
        <v>0</v>
      </c>
      <c r="AP20" s="430">
        <v>1796224</v>
      </c>
      <c r="AQ20" s="430">
        <v>0</v>
      </c>
      <c r="AR20" s="430">
        <v>1060802.984</v>
      </c>
      <c r="AS20" s="430">
        <v>0</v>
      </c>
      <c r="AT20" s="430">
        <v>1180951</v>
      </c>
      <c r="AU20" s="430">
        <v>1075148</v>
      </c>
      <c r="AV20" s="430">
        <v>1140105</v>
      </c>
      <c r="AW20" s="421">
        <v>3816195.463</v>
      </c>
      <c r="AX20" s="421">
        <v>0</v>
      </c>
      <c r="AY20" s="430">
        <v>0</v>
      </c>
      <c r="AZ20" s="430">
        <v>0</v>
      </c>
      <c r="BA20" s="430">
        <v>0</v>
      </c>
      <c r="BB20" s="430">
        <v>0</v>
      </c>
      <c r="BC20" s="430">
        <v>0</v>
      </c>
      <c r="BD20" s="430">
        <v>4279951</v>
      </c>
      <c r="BE20" s="430">
        <v>383829</v>
      </c>
      <c r="BF20" s="430">
        <v>0</v>
      </c>
      <c r="BG20" s="430">
        <v>0</v>
      </c>
      <c r="BH20" s="430">
        <v>0</v>
      </c>
      <c r="BI20" s="430">
        <v>413202</v>
      </c>
      <c r="BJ20" s="430">
        <v>0</v>
      </c>
      <c r="BK20" s="430">
        <v>0</v>
      </c>
      <c r="BL20" s="430">
        <v>0</v>
      </c>
      <c r="BM20" s="430">
        <v>0</v>
      </c>
      <c r="BN20" s="430">
        <v>2380643.497</v>
      </c>
      <c r="BO20" s="430">
        <v>351918</v>
      </c>
      <c r="BP20" s="430">
        <v>2560588.5</v>
      </c>
      <c r="BQ20" s="430">
        <v>317206</v>
      </c>
      <c r="BR20" s="430">
        <v>64690</v>
      </c>
      <c r="BS20" s="430">
        <v>0</v>
      </c>
      <c r="BT20" s="430">
        <v>56355</v>
      </c>
      <c r="BU20" s="430">
        <v>0</v>
      </c>
      <c r="BV20" s="430">
        <v>0</v>
      </c>
      <c r="BW20" s="430">
        <v>61175.6</v>
      </c>
      <c r="BX20" s="430">
        <v>168244.9</v>
      </c>
      <c r="BY20" s="430">
        <v>269010</v>
      </c>
      <c r="BZ20" s="430">
        <v>33216</v>
      </c>
      <c r="CA20" s="430">
        <v>28515</v>
      </c>
      <c r="CB20" s="430">
        <v>12411</v>
      </c>
      <c r="CC20" s="430">
        <v>11308.391</v>
      </c>
      <c r="CD20" s="430">
        <v>10737</v>
      </c>
      <c r="CE20" s="430">
        <v>33133.494</v>
      </c>
      <c r="CF20" s="430">
        <v>4377</v>
      </c>
      <c r="CG20" s="430">
        <v>710</v>
      </c>
      <c r="CH20" s="430">
        <v>10281</v>
      </c>
      <c r="CI20" s="186"/>
      <c r="CJ20" s="250">
        <f t="shared" si="5"/>
        <v>144536368.05499998</v>
      </c>
    </row>
    <row r="21" spans="1:88" s="39" customFormat="1" ht="12.75" customHeight="1">
      <c r="A21" s="250"/>
      <c r="B21" s="419" t="s">
        <v>452</v>
      </c>
      <c r="C21" s="250">
        <f>SUM(C15:C20)</f>
        <v>40893893.146</v>
      </c>
      <c r="D21" s="250">
        <f aca="true" t="shared" si="6" ref="D21:AJ21">SUM(D15:D20)</f>
        <v>19694062.659</v>
      </c>
      <c r="E21" s="250">
        <f t="shared" si="6"/>
        <v>112774.66999999998</v>
      </c>
      <c r="F21" s="250">
        <f t="shared" si="6"/>
        <v>35585.65900000001</v>
      </c>
      <c r="G21" s="250">
        <f t="shared" si="6"/>
        <v>0</v>
      </c>
      <c r="H21" s="250">
        <f t="shared" si="6"/>
        <v>42404496</v>
      </c>
      <c r="I21" s="250">
        <f t="shared" si="6"/>
        <v>1042734</v>
      </c>
      <c r="J21" s="250">
        <f t="shared" si="6"/>
        <v>33725651.866</v>
      </c>
      <c r="K21" s="250">
        <f t="shared" si="6"/>
        <v>0</v>
      </c>
      <c r="L21" s="250">
        <f t="shared" si="6"/>
        <v>0</v>
      </c>
      <c r="M21" s="250">
        <f t="shared" si="6"/>
        <v>0</v>
      </c>
      <c r="N21" s="250">
        <f t="shared" si="6"/>
        <v>12388847</v>
      </c>
      <c r="O21" s="250">
        <f t="shared" si="6"/>
        <v>1488016</v>
      </c>
      <c r="P21" s="250">
        <f t="shared" si="6"/>
        <v>32646</v>
      </c>
      <c r="Q21" s="250">
        <f t="shared" si="6"/>
        <v>357548</v>
      </c>
      <c r="R21" s="250">
        <f t="shared" si="6"/>
        <v>5683</v>
      </c>
      <c r="S21" s="250">
        <f t="shared" si="6"/>
        <v>21391</v>
      </c>
      <c r="T21" s="250">
        <f t="shared" si="6"/>
        <v>11425</v>
      </c>
      <c r="U21" s="250">
        <f t="shared" si="6"/>
        <v>726</v>
      </c>
      <c r="V21" s="250">
        <f t="shared" si="6"/>
        <v>1645614.2149999999</v>
      </c>
      <c r="W21" s="250">
        <f t="shared" si="6"/>
        <v>816462.054</v>
      </c>
      <c r="X21" s="250">
        <f>SUM(X15:X20)</f>
        <v>0</v>
      </c>
      <c r="Y21" s="250">
        <f t="shared" si="6"/>
        <v>1908810.996</v>
      </c>
      <c r="Z21" s="250">
        <f t="shared" si="6"/>
        <v>7503046.365999999</v>
      </c>
      <c r="AA21" s="250">
        <f t="shared" si="6"/>
        <v>1529823.349</v>
      </c>
      <c r="AB21" s="250">
        <f t="shared" si="6"/>
        <v>168988.06100000002</v>
      </c>
      <c r="AC21" s="250">
        <f>SUM(AC15:AC20)</f>
        <v>5537778</v>
      </c>
      <c r="AD21" s="250">
        <f>SUM(AD15:AD20)</f>
        <v>30609</v>
      </c>
      <c r="AE21" s="250">
        <f>SUM(AE15:AE20)</f>
        <v>58123</v>
      </c>
      <c r="AF21" s="250">
        <f t="shared" si="6"/>
        <v>14832652</v>
      </c>
      <c r="AG21" s="250">
        <f t="shared" si="6"/>
        <v>0</v>
      </c>
      <c r="AH21" s="250">
        <f t="shared" si="6"/>
        <v>501347</v>
      </c>
      <c r="AI21" s="250">
        <f t="shared" si="6"/>
        <v>69989</v>
      </c>
      <c r="AJ21" s="250">
        <f t="shared" si="6"/>
        <v>7631</v>
      </c>
      <c r="AK21" s="250">
        <f>SUM(AK15:AK20)</f>
        <v>391263</v>
      </c>
      <c r="AL21" s="250">
        <f>SUM(AL15:AL20)</f>
        <v>712085</v>
      </c>
      <c r="AM21" s="250">
        <f>SUM(AM15:AM20)</f>
        <v>2039473</v>
      </c>
      <c r="AN21" s="250">
        <f>SUM(AN15:AN20)</f>
        <v>166323</v>
      </c>
      <c r="AO21" s="250">
        <f>SUM(AO15:AO20)</f>
        <v>509290</v>
      </c>
      <c r="AP21" s="250">
        <f aca="true" t="shared" si="7" ref="AP21:AX21">SUM(AP15:AP20)</f>
        <v>2094310</v>
      </c>
      <c r="AQ21" s="250">
        <f t="shared" si="7"/>
        <v>0</v>
      </c>
      <c r="AR21" s="250">
        <f t="shared" si="7"/>
        <v>2637039.0150000006</v>
      </c>
      <c r="AS21" s="250">
        <f t="shared" si="7"/>
        <v>5048</v>
      </c>
      <c r="AT21" s="250">
        <f t="shared" si="7"/>
        <v>1291376</v>
      </c>
      <c r="AU21" s="250">
        <f t="shared" si="7"/>
        <v>3389821</v>
      </c>
      <c r="AV21" s="250">
        <f t="shared" si="7"/>
        <v>1995106</v>
      </c>
      <c r="AW21" s="250">
        <f t="shared" si="7"/>
        <v>5441972.776000001</v>
      </c>
      <c r="AX21" s="250">
        <f t="shared" si="7"/>
        <v>0</v>
      </c>
      <c r="AY21" s="250">
        <f aca="true" t="shared" si="8" ref="AY21:BH21">SUM(AY15:AY20)</f>
        <v>274899</v>
      </c>
      <c r="AZ21" s="250">
        <f t="shared" si="8"/>
        <v>1122218</v>
      </c>
      <c r="BA21" s="250">
        <f t="shared" si="8"/>
        <v>798154.5</v>
      </c>
      <c r="BB21" s="250">
        <f t="shared" si="8"/>
        <v>653520</v>
      </c>
      <c r="BC21" s="250">
        <f t="shared" si="8"/>
        <v>310906</v>
      </c>
      <c r="BD21" s="250">
        <f t="shared" si="8"/>
        <v>5298353</v>
      </c>
      <c r="BE21" s="250">
        <f t="shared" si="8"/>
        <v>475160</v>
      </c>
      <c r="BF21" s="250">
        <f t="shared" si="8"/>
        <v>10462</v>
      </c>
      <c r="BG21" s="250">
        <f t="shared" si="8"/>
        <v>1568</v>
      </c>
      <c r="BH21" s="250">
        <f t="shared" si="8"/>
        <v>0</v>
      </c>
      <c r="BI21" s="250">
        <f aca="true" t="shared" si="9" ref="BI21:BU21">SUM(BI15:BI20)</f>
        <v>1267784</v>
      </c>
      <c r="BJ21" s="250">
        <f t="shared" si="9"/>
        <v>0</v>
      </c>
      <c r="BK21" s="250">
        <f t="shared" si="9"/>
        <v>1645271.2580000001</v>
      </c>
      <c r="BL21" s="250">
        <f t="shared" si="9"/>
        <v>0</v>
      </c>
      <c r="BM21" s="250">
        <f t="shared" si="9"/>
        <v>0</v>
      </c>
      <c r="BN21" s="250">
        <f t="shared" si="9"/>
        <v>3545064.611</v>
      </c>
      <c r="BO21" s="250">
        <f t="shared" si="9"/>
        <v>2010175</v>
      </c>
      <c r="BP21" s="250">
        <f t="shared" si="9"/>
        <v>3774619.5</v>
      </c>
      <c r="BQ21" s="250">
        <f t="shared" si="9"/>
        <v>1396057</v>
      </c>
      <c r="BR21" s="250">
        <f t="shared" si="9"/>
        <v>1057372</v>
      </c>
      <c r="BS21" s="250">
        <f t="shared" si="9"/>
        <v>384157.956</v>
      </c>
      <c r="BT21" s="250">
        <f t="shared" si="9"/>
        <v>749972</v>
      </c>
      <c r="BU21" s="250">
        <f t="shared" si="9"/>
        <v>1081951</v>
      </c>
      <c r="BV21" s="250">
        <f aca="true" t="shared" si="10" ref="BV21:CE21">SUM(BV15:BV20)</f>
        <v>16955</v>
      </c>
      <c r="BW21" s="250">
        <f t="shared" si="10"/>
        <v>277718.1</v>
      </c>
      <c r="BX21" s="250">
        <f t="shared" si="10"/>
        <v>215771</v>
      </c>
      <c r="BY21" s="250">
        <f t="shared" si="10"/>
        <v>359235</v>
      </c>
      <c r="BZ21" s="250">
        <f t="shared" si="10"/>
        <v>145944</v>
      </c>
      <c r="CA21" s="250">
        <f t="shared" si="10"/>
        <v>114959</v>
      </c>
      <c r="CB21" s="250">
        <f t="shared" si="10"/>
        <v>106285</v>
      </c>
      <c r="CC21" s="250">
        <f t="shared" si="10"/>
        <v>14570.391</v>
      </c>
      <c r="CD21" s="250">
        <f t="shared" si="10"/>
        <v>48001</v>
      </c>
      <c r="CE21" s="250">
        <f t="shared" si="10"/>
        <v>33757.308</v>
      </c>
      <c r="CF21" s="250">
        <f>SUM(CF15:CF20)</f>
        <v>47100</v>
      </c>
      <c r="CG21" s="250">
        <f>SUM(CG15:CG20)</f>
        <v>710</v>
      </c>
      <c r="CH21" s="250">
        <f>SUM(CH15:CH20)</f>
        <v>10281</v>
      </c>
      <c r="CI21" s="250"/>
      <c r="CJ21" s="250">
        <f>SUM(CJ15:CJ20)</f>
        <v>234748412.45599997</v>
      </c>
    </row>
    <row r="22" spans="1:88" ht="12.75" customHeight="1">
      <c r="A22" s="186" t="s">
        <v>419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250"/>
    </row>
    <row r="23" spans="1:88" ht="12.75" customHeight="1">
      <c r="A23" s="250" t="s">
        <v>455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250"/>
    </row>
    <row r="24" spans="1:88" ht="12.75" customHeight="1">
      <c r="A24" s="186" t="s">
        <v>419</v>
      </c>
      <c r="B24" s="186" t="s">
        <v>456</v>
      </c>
      <c r="C24" s="432">
        <v>83517783.532</v>
      </c>
      <c r="D24" s="432">
        <v>43932709.995</v>
      </c>
      <c r="E24" s="432">
        <v>1900973.719</v>
      </c>
      <c r="F24" s="432">
        <v>328714.137</v>
      </c>
      <c r="G24" s="432">
        <v>0</v>
      </c>
      <c r="H24" s="432">
        <v>119572129</v>
      </c>
      <c r="I24" s="432">
        <v>2940298</v>
      </c>
      <c r="J24" s="432">
        <v>56905835.038</v>
      </c>
      <c r="K24" s="432">
        <v>138091</v>
      </c>
      <c r="L24" s="432">
        <v>148257.398</v>
      </c>
      <c r="M24" s="432">
        <v>0</v>
      </c>
      <c r="N24" s="432">
        <v>34973994</v>
      </c>
      <c r="O24" s="432">
        <v>4200703</v>
      </c>
      <c r="P24" s="432">
        <v>142764</v>
      </c>
      <c r="Q24" s="432">
        <v>0</v>
      </c>
      <c r="R24" s="432">
        <v>39591</v>
      </c>
      <c r="S24" s="432">
        <v>64192</v>
      </c>
      <c r="T24" s="432">
        <v>11621</v>
      </c>
      <c r="U24" s="432">
        <v>0</v>
      </c>
      <c r="V24" s="432">
        <v>3124077.087</v>
      </c>
      <c r="W24" s="432">
        <v>6445.66</v>
      </c>
      <c r="X24" s="432">
        <v>0</v>
      </c>
      <c r="Y24" s="432">
        <v>9739741.338</v>
      </c>
      <c r="Z24" s="432">
        <v>18347188.027</v>
      </c>
      <c r="AA24" s="432">
        <v>1794167.6630000002</v>
      </c>
      <c r="AB24" s="432">
        <v>0</v>
      </c>
      <c r="AC24" s="432">
        <v>24405377</v>
      </c>
      <c r="AD24" s="432">
        <v>170918</v>
      </c>
      <c r="AE24" s="432">
        <v>1000188</v>
      </c>
      <c r="AF24" s="432">
        <v>26486631</v>
      </c>
      <c r="AG24" s="432">
        <v>0</v>
      </c>
      <c r="AH24" s="432">
        <v>0</v>
      </c>
      <c r="AI24" s="432">
        <v>35054</v>
      </c>
      <c r="AJ24" s="432">
        <v>35335</v>
      </c>
      <c r="AK24" s="432">
        <v>698677</v>
      </c>
      <c r="AL24" s="432">
        <v>4868255</v>
      </c>
      <c r="AM24" s="432">
        <v>18930214</v>
      </c>
      <c r="AN24" s="432">
        <v>521360</v>
      </c>
      <c r="AO24" s="432">
        <v>0</v>
      </c>
      <c r="AP24" s="432">
        <v>17203371</v>
      </c>
      <c r="AQ24" s="432">
        <v>117251</v>
      </c>
      <c r="AR24" s="432">
        <v>17783908.133</v>
      </c>
      <c r="AS24" s="432">
        <v>36957</v>
      </c>
      <c r="AT24" s="432">
        <v>1234876</v>
      </c>
      <c r="AU24" s="432">
        <v>198298</v>
      </c>
      <c r="AV24" s="432">
        <v>3170654</v>
      </c>
      <c r="AW24" s="426">
        <v>11076045.4758</v>
      </c>
      <c r="AX24" s="426">
        <v>0</v>
      </c>
      <c r="AY24" s="432">
        <v>581939</v>
      </c>
      <c r="AZ24" s="432">
        <v>4132893</v>
      </c>
      <c r="BA24" s="432">
        <v>1955745</v>
      </c>
      <c r="BB24" s="432">
        <v>622745.5</v>
      </c>
      <c r="BC24" s="432">
        <v>0</v>
      </c>
      <c r="BD24" s="432">
        <v>6946932</v>
      </c>
      <c r="BE24" s="432">
        <v>623006</v>
      </c>
      <c r="BF24" s="432">
        <v>303465</v>
      </c>
      <c r="BG24" s="432">
        <v>16803</v>
      </c>
      <c r="BH24" s="432">
        <v>0</v>
      </c>
      <c r="BI24" s="432">
        <v>12320970</v>
      </c>
      <c r="BJ24" s="432">
        <v>134089</v>
      </c>
      <c r="BK24" s="432">
        <v>9880471.363</v>
      </c>
      <c r="BL24" s="432">
        <v>16166.296</v>
      </c>
      <c r="BM24" s="432">
        <v>69119.08200000001</v>
      </c>
      <c r="BN24" s="432">
        <v>10297014.888</v>
      </c>
      <c r="BO24" s="432">
        <v>6634457</v>
      </c>
      <c r="BP24" s="432">
        <v>3577417</v>
      </c>
      <c r="BQ24" s="432">
        <v>1376985</v>
      </c>
      <c r="BR24" s="432">
        <v>1602352</v>
      </c>
      <c r="BS24" s="432">
        <v>0</v>
      </c>
      <c r="BT24" s="432">
        <v>1046655</v>
      </c>
      <c r="BU24" s="432">
        <v>756620</v>
      </c>
      <c r="BV24" s="432">
        <v>75622</v>
      </c>
      <c r="BW24" s="432">
        <v>634315.7</v>
      </c>
      <c r="BX24" s="432">
        <v>303438</v>
      </c>
      <c r="BY24" s="432">
        <v>1023854</v>
      </c>
      <c r="BZ24" s="432">
        <v>280732</v>
      </c>
      <c r="CA24" s="432">
        <v>182649</v>
      </c>
      <c r="CB24" s="432">
        <v>663</v>
      </c>
      <c r="CC24" s="432">
        <v>22823.16</v>
      </c>
      <c r="CD24" s="432">
        <v>0</v>
      </c>
      <c r="CE24" s="432">
        <v>39392.601</v>
      </c>
      <c r="CF24" s="432">
        <v>0</v>
      </c>
      <c r="CG24" s="432">
        <v>0</v>
      </c>
      <c r="CH24" s="432">
        <v>0</v>
      </c>
      <c r="CI24" s="186"/>
      <c r="CJ24" s="250">
        <f>SUM(C24:CH24)</f>
        <v>575261980.7928001</v>
      </c>
    </row>
    <row r="25" spans="1:88" ht="12.75" customHeight="1">
      <c r="A25" s="186" t="s">
        <v>419</v>
      </c>
      <c r="B25" s="186" t="s">
        <v>457</v>
      </c>
      <c r="C25" s="427">
        <v>328.393</v>
      </c>
      <c r="D25" s="427">
        <v>179.577</v>
      </c>
      <c r="E25" s="427">
        <v>0</v>
      </c>
      <c r="F25" s="427">
        <v>0</v>
      </c>
      <c r="G25" s="427">
        <v>0</v>
      </c>
      <c r="H25" s="427">
        <v>2669465</v>
      </c>
      <c r="I25" s="427">
        <v>65643</v>
      </c>
      <c r="J25" s="427">
        <v>3039012</v>
      </c>
      <c r="K25" s="427">
        <v>0</v>
      </c>
      <c r="L25" s="427">
        <v>0</v>
      </c>
      <c r="M25" s="427">
        <v>0</v>
      </c>
      <c r="N25" s="427">
        <v>747946</v>
      </c>
      <c r="O25" s="427">
        <v>89835</v>
      </c>
      <c r="P25" s="427">
        <v>0</v>
      </c>
      <c r="Q25" s="427">
        <v>0</v>
      </c>
      <c r="R25" s="427">
        <v>0</v>
      </c>
      <c r="S25" s="427">
        <v>0</v>
      </c>
      <c r="T25" s="427">
        <v>0</v>
      </c>
      <c r="U25" s="427">
        <v>0</v>
      </c>
      <c r="V25" s="427">
        <v>29519.067</v>
      </c>
      <c r="W25" s="427">
        <v>0</v>
      </c>
      <c r="X25" s="427">
        <v>0</v>
      </c>
      <c r="Y25" s="427">
        <v>0</v>
      </c>
      <c r="Z25" s="427">
        <v>0</v>
      </c>
      <c r="AA25" s="427">
        <v>0</v>
      </c>
      <c r="AB25" s="427">
        <v>0</v>
      </c>
      <c r="AC25" s="427">
        <v>945774</v>
      </c>
      <c r="AD25" s="427">
        <v>0</v>
      </c>
      <c r="AE25" s="427">
        <v>0</v>
      </c>
      <c r="AF25" s="427">
        <v>1762601</v>
      </c>
      <c r="AG25" s="427">
        <v>0</v>
      </c>
      <c r="AH25" s="427">
        <v>0</v>
      </c>
      <c r="AI25" s="427">
        <v>0</v>
      </c>
      <c r="AJ25" s="427">
        <v>0</v>
      </c>
      <c r="AK25" s="427">
        <v>46495</v>
      </c>
      <c r="AL25" s="427">
        <v>45621</v>
      </c>
      <c r="AM25" s="427">
        <v>120575</v>
      </c>
      <c r="AN25" s="427">
        <v>4990</v>
      </c>
      <c r="AO25" s="427">
        <v>0</v>
      </c>
      <c r="AP25" s="427">
        <v>13714</v>
      </c>
      <c r="AQ25" s="427">
        <v>0</v>
      </c>
      <c r="AR25" s="427">
        <v>2531188.449</v>
      </c>
      <c r="AS25" s="427">
        <v>0</v>
      </c>
      <c r="AT25" s="427">
        <v>10737</v>
      </c>
      <c r="AU25" s="427">
        <v>2108</v>
      </c>
      <c r="AV25" s="427">
        <v>21379</v>
      </c>
      <c r="AW25" s="433">
        <v>35789.626000000004</v>
      </c>
      <c r="AX25" s="433">
        <v>0</v>
      </c>
      <c r="AY25" s="427">
        <v>0</v>
      </c>
      <c r="AZ25" s="427">
        <v>6.5</v>
      </c>
      <c r="BA25" s="427">
        <v>10</v>
      </c>
      <c r="BB25" s="427">
        <v>5</v>
      </c>
      <c r="BC25" s="427">
        <v>0</v>
      </c>
      <c r="BD25" s="427">
        <v>35622</v>
      </c>
      <c r="BE25" s="427">
        <v>3194</v>
      </c>
      <c r="BF25" s="427">
        <v>818</v>
      </c>
      <c r="BG25" s="427">
        <v>130</v>
      </c>
      <c r="BH25" s="427">
        <v>0</v>
      </c>
      <c r="BI25" s="427">
        <v>249069</v>
      </c>
      <c r="BJ25" s="427">
        <v>0</v>
      </c>
      <c r="BK25" s="427">
        <v>56196.743</v>
      </c>
      <c r="BL25" s="427">
        <v>0</v>
      </c>
      <c r="BM25" s="427">
        <v>0</v>
      </c>
      <c r="BN25" s="427">
        <v>38.723</v>
      </c>
      <c r="BO25" s="427">
        <v>66703</v>
      </c>
      <c r="BP25" s="427">
        <v>68</v>
      </c>
      <c r="BQ25" s="427">
        <v>0</v>
      </c>
      <c r="BR25" s="427">
        <v>168</v>
      </c>
      <c r="BS25" s="427">
        <v>0</v>
      </c>
      <c r="BT25" s="427">
        <v>0</v>
      </c>
      <c r="BU25" s="427">
        <v>12422</v>
      </c>
      <c r="BV25" s="427">
        <v>0</v>
      </c>
      <c r="BW25" s="427">
        <v>10.7</v>
      </c>
      <c r="BX25" s="427">
        <v>0</v>
      </c>
      <c r="BY25" s="427">
        <v>20453</v>
      </c>
      <c r="BZ25" s="427">
        <v>2584</v>
      </c>
      <c r="CA25" s="427">
        <v>0</v>
      </c>
      <c r="CB25" s="427">
        <v>0</v>
      </c>
      <c r="CC25" s="427">
        <v>1</v>
      </c>
      <c r="CD25" s="427">
        <v>0</v>
      </c>
      <c r="CE25" s="427">
        <v>725.92</v>
      </c>
      <c r="CF25" s="427">
        <v>0</v>
      </c>
      <c r="CG25" s="427">
        <v>663</v>
      </c>
      <c r="CH25" s="427">
        <v>0</v>
      </c>
      <c r="CI25" s="186"/>
      <c r="CJ25" s="250">
        <f>SUM(C25:CH25)</f>
        <v>12631788.698</v>
      </c>
    </row>
    <row r="26" spans="1:88" s="39" customFormat="1" ht="12.75" customHeight="1">
      <c r="A26" s="250"/>
      <c r="B26" s="419" t="s">
        <v>452</v>
      </c>
      <c r="C26" s="250">
        <f>SUM(C24:C25)</f>
        <v>83518111.92500001</v>
      </c>
      <c r="D26" s="250">
        <f aca="true" t="shared" si="11" ref="D26:AJ26">SUM(D24:D25)</f>
        <v>43932889.572</v>
      </c>
      <c r="E26" s="250">
        <f t="shared" si="11"/>
        <v>1900973.719</v>
      </c>
      <c r="F26" s="250">
        <f t="shared" si="11"/>
        <v>328714.137</v>
      </c>
      <c r="G26" s="250">
        <f t="shared" si="11"/>
        <v>0</v>
      </c>
      <c r="H26" s="250">
        <f t="shared" si="11"/>
        <v>122241594</v>
      </c>
      <c r="I26" s="250">
        <f t="shared" si="11"/>
        <v>3005941</v>
      </c>
      <c r="J26" s="250">
        <f t="shared" si="11"/>
        <v>59944847.038</v>
      </c>
      <c r="K26" s="250">
        <f t="shared" si="11"/>
        <v>138091</v>
      </c>
      <c r="L26" s="250">
        <f t="shared" si="11"/>
        <v>148257.398</v>
      </c>
      <c r="M26" s="250">
        <f t="shared" si="11"/>
        <v>0</v>
      </c>
      <c r="N26" s="250">
        <f t="shared" si="11"/>
        <v>35721940</v>
      </c>
      <c r="O26" s="250">
        <f t="shared" si="11"/>
        <v>4290538</v>
      </c>
      <c r="P26" s="250">
        <f t="shared" si="11"/>
        <v>142764</v>
      </c>
      <c r="Q26" s="250">
        <f t="shared" si="11"/>
        <v>0</v>
      </c>
      <c r="R26" s="250">
        <f t="shared" si="11"/>
        <v>39591</v>
      </c>
      <c r="S26" s="250">
        <f t="shared" si="11"/>
        <v>64192</v>
      </c>
      <c r="T26" s="250">
        <f t="shared" si="11"/>
        <v>11621</v>
      </c>
      <c r="U26" s="250">
        <f t="shared" si="11"/>
        <v>0</v>
      </c>
      <c r="V26" s="250">
        <f t="shared" si="11"/>
        <v>3153596.1539999996</v>
      </c>
      <c r="W26" s="250">
        <f t="shared" si="11"/>
        <v>6445.66</v>
      </c>
      <c r="X26" s="250">
        <f>SUM(X24:X25)</f>
        <v>0</v>
      </c>
      <c r="Y26" s="250">
        <f t="shared" si="11"/>
        <v>9739741.338</v>
      </c>
      <c r="Z26" s="250">
        <f t="shared" si="11"/>
        <v>18347188.027</v>
      </c>
      <c r="AA26" s="250">
        <f t="shared" si="11"/>
        <v>1794167.6630000002</v>
      </c>
      <c r="AB26" s="250">
        <f t="shared" si="11"/>
        <v>0</v>
      </c>
      <c r="AC26" s="250">
        <f>SUM(AC24:AC25)</f>
        <v>25351151</v>
      </c>
      <c r="AD26" s="250">
        <f>SUM(AD24:AD25)</f>
        <v>170918</v>
      </c>
      <c r="AE26" s="250">
        <f>SUM(AE24:AE25)</f>
        <v>1000188</v>
      </c>
      <c r="AF26" s="250">
        <f t="shared" si="11"/>
        <v>28249232</v>
      </c>
      <c r="AG26" s="250">
        <f t="shared" si="11"/>
        <v>0</v>
      </c>
      <c r="AH26" s="250">
        <f t="shared" si="11"/>
        <v>0</v>
      </c>
      <c r="AI26" s="250">
        <f t="shared" si="11"/>
        <v>35054</v>
      </c>
      <c r="AJ26" s="250">
        <f t="shared" si="11"/>
        <v>35335</v>
      </c>
      <c r="AK26" s="250">
        <f>SUM(AK24:AK25)</f>
        <v>745172</v>
      </c>
      <c r="AL26" s="250">
        <f>SUM(AL24:AL25)</f>
        <v>4913876</v>
      </c>
      <c r="AM26" s="250">
        <f>SUM(AM24:AM25)</f>
        <v>19050789</v>
      </c>
      <c r="AN26" s="250">
        <f>SUM(AN24:AN25)</f>
        <v>526350</v>
      </c>
      <c r="AO26" s="250">
        <f>SUM(AO24:AO25)</f>
        <v>0</v>
      </c>
      <c r="AP26" s="250">
        <f aca="true" t="shared" si="12" ref="AP26:AX26">SUM(AP24:AP25)</f>
        <v>17217085</v>
      </c>
      <c r="AQ26" s="250">
        <f t="shared" si="12"/>
        <v>117251</v>
      </c>
      <c r="AR26" s="250">
        <f t="shared" si="12"/>
        <v>20315096.582000002</v>
      </c>
      <c r="AS26" s="250">
        <f t="shared" si="12"/>
        <v>36957</v>
      </c>
      <c r="AT26" s="250">
        <f t="shared" si="12"/>
        <v>1245613</v>
      </c>
      <c r="AU26" s="250">
        <f t="shared" si="12"/>
        <v>200406</v>
      </c>
      <c r="AV26" s="250">
        <f t="shared" si="12"/>
        <v>3192033</v>
      </c>
      <c r="AW26" s="250">
        <f t="shared" si="12"/>
        <v>11111835.1018</v>
      </c>
      <c r="AX26" s="250">
        <f t="shared" si="12"/>
        <v>0</v>
      </c>
      <c r="AY26" s="250">
        <f aca="true" t="shared" si="13" ref="AY26:BH26">SUM(AY24:AY25)</f>
        <v>581939</v>
      </c>
      <c r="AZ26" s="250">
        <f t="shared" si="13"/>
        <v>4132899.5</v>
      </c>
      <c r="BA26" s="250">
        <f t="shared" si="13"/>
        <v>1955755</v>
      </c>
      <c r="BB26" s="250">
        <f t="shared" si="13"/>
        <v>622750.5</v>
      </c>
      <c r="BC26" s="250">
        <f t="shared" si="13"/>
        <v>0</v>
      </c>
      <c r="BD26" s="250">
        <f t="shared" si="13"/>
        <v>6982554</v>
      </c>
      <c r="BE26" s="250">
        <f t="shared" si="13"/>
        <v>626200</v>
      </c>
      <c r="BF26" s="250">
        <f t="shared" si="13"/>
        <v>304283</v>
      </c>
      <c r="BG26" s="250">
        <f t="shared" si="13"/>
        <v>16933</v>
      </c>
      <c r="BH26" s="250">
        <f t="shared" si="13"/>
        <v>0</v>
      </c>
      <c r="BI26" s="250">
        <f aca="true" t="shared" si="14" ref="BI26:BU26">SUM(BI24:BI25)</f>
        <v>12570039</v>
      </c>
      <c r="BJ26" s="250">
        <f t="shared" si="14"/>
        <v>134089</v>
      </c>
      <c r="BK26" s="250">
        <f t="shared" si="14"/>
        <v>9936668.106</v>
      </c>
      <c r="BL26" s="250">
        <f t="shared" si="14"/>
        <v>16166.296</v>
      </c>
      <c r="BM26" s="250">
        <f t="shared" si="14"/>
        <v>69119.08200000001</v>
      </c>
      <c r="BN26" s="250">
        <f t="shared" si="14"/>
        <v>10297053.611</v>
      </c>
      <c r="BO26" s="250">
        <f t="shared" si="14"/>
        <v>6701160</v>
      </c>
      <c r="BP26" s="250">
        <f t="shared" si="14"/>
        <v>3577485</v>
      </c>
      <c r="BQ26" s="250">
        <f t="shared" si="14"/>
        <v>1376985</v>
      </c>
      <c r="BR26" s="250">
        <f t="shared" si="14"/>
        <v>1602520</v>
      </c>
      <c r="BS26" s="250">
        <f t="shared" si="14"/>
        <v>0</v>
      </c>
      <c r="BT26" s="250">
        <f t="shared" si="14"/>
        <v>1046655</v>
      </c>
      <c r="BU26" s="250">
        <f t="shared" si="14"/>
        <v>769042</v>
      </c>
      <c r="BV26" s="250">
        <f aca="true" t="shared" si="15" ref="BV26:CE26">SUM(BV24:BV25)</f>
        <v>75622</v>
      </c>
      <c r="BW26" s="250">
        <f t="shared" si="15"/>
        <v>634326.3999999999</v>
      </c>
      <c r="BX26" s="250">
        <f t="shared" si="15"/>
        <v>303438</v>
      </c>
      <c r="BY26" s="250">
        <f t="shared" si="15"/>
        <v>1044307</v>
      </c>
      <c r="BZ26" s="250">
        <f t="shared" si="15"/>
        <v>283316</v>
      </c>
      <c r="CA26" s="250">
        <f t="shared" si="15"/>
        <v>182649</v>
      </c>
      <c r="CB26" s="250">
        <f t="shared" si="15"/>
        <v>663</v>
      </c>
      <c r="CC26" s="250">
        <f t="shared" si="15"/>
        <v>22824.16</v>
      </c>
      <c r="CD26" s="250">
        <f t="shared" si="15"/>
        <v>0</v>
      </c>
      <c r="CE26" s="250">
        <f t="shared" si="15"/>
        <v>40118.521</v>
      </c>
      <c r="CF26" s="250">
        <f>SUM(CF24:CF25)</f>
        <v>0</v>
      </c>
      <c r="CG26" s="250">
        <f>SUM(CG24:CG25)</f>
        <v>663</v>
      </c>
      <c r="CH26" s="250">
        <f>SUM(CH24:CH25)</f>
        <v>0</v>
      </c>
      <c r="CI26" s="250"/>
      <c r="CJ26" s="250">
        <f>SUM(CJ24:CJ25)</f>
        <v>587893769.4908</v>
      </c>
    </row>
    <row r="27" spans="1:88" ht="12.7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250"/>
    </row>
    <row r="28" spans="1:88" ht="12.75" customHeight="1">
      <c r="A28" s="250" t="s">
        <v>458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250"/>
    </row>
    <row r="29" spans="1:88" ht="12.75" customHeight="1">
      <c r="A29" s="186"/>
      <c r="B29" s="186" t="s">
        <v>459</v>
      </c>
      <c r="C29" s="420">
        <v>9351594.19446796</v>
      </c>
      <c r="D29" s="420">
        <v>2516162.58453079</v>
      </c>
      <c r="E29" s="420">
        <v>319362.474</v>
      </c>
      <c r="F29" s="420">
        <v>178266.979</v>
      </c>
      <c r="G29" s="420">
        <v>542501</v>
      </c>
      <c r="H29" s="420">
        <v>5814670</v>
      </c>
      <c r="I29" s="420">
        <v>142984</v>
      </c>
      <c r="J29" s="420">
        <v>8463097</v>
      </c>
      <c r="K29" s="420">
        <v>212151</v>
      </c>
      <c r="L29" s="420">
        <v>329105.415</v>
      </c>
      <c r="M29" s="420">
        <v>21720</v>
      </c>
      <c r="N29" s="420">
        <v>1215464</v>
      </c>
      <c r="O29" s="420">
        <v>145989</v>
      </c>
      <c r="P29" s="420">
        <v>269</v>
      </c>
      <c r="Q29" s="420">
        <v>8110</v>
      </c>
      <c r="R29" s="420">
        <v>1260</v>
      </c>
      <c r="S29" s="420">
        <v>3227</v>
      </c>
      <c r="T29" s="420">
        <v>1308</v>
      </c>
      <c r="U29" s="420">
        <v>0</v>
      </c>
      <c r="V29" s="420">
        <v>278893.26399999997</v>
      </c>
      <c r="W29" s="420">
        <v>152724.793</v>
      </c>
      <c r="X29" s="420">
        <v>0</v>
      </c>
      <c r="Y29" s="420">
        <v>547799.681</v>
      </c>
      <c r="Z29" s="420">
        <v>1414142.1909999999</v>
      </c>
      <c r="AA29" s="420">
        <v>480370.125</v>
      </c>
      <c r="AB29" s="420">
        <v>393537.576</v>
      </c>
      <c r="AC29" s="420">
        <v>1323154</v>
      </c>
      <c r="AD29" s="420">
        <v>0</v>
      </c>
      <c r="AE29" s="420">
        <v>0</v>
      </c>
      <c r="AF29" s="420">
        <v>2375838</v>
      </c>
      <c r="AG29" s="420">
        <v>13241</v>
      </c>
      <c r="AH29" s="420">
        <v>92740</v>
      </c>
      <c r="AI29" s="420">
        <v>22702</v>
      </c>
      <c r="AJ29" s="420">
        <v>35700</v>
      </c>
      <c r="AK29" s="420">
        <v>62672</v>
      </c>
      <c r="AL29" s="420">
        <v>636376</v>
      </c>
      <c r="AM29" s="420">
        <v>1559263</v>
      </c>
      <c r="AN29" s="420">
        <v>136387</v>
      </c>
      <c r="AO29" s="420">
        <v>263257</v>
      </c>
      <c r="AP29" s="420">
        <v>595054</v>
      </c>
      <c r="AQ29" s="420">
        <v>51034</v>
      </c>
      <c r="AR29" s="420">
        <v>1003868.013</v>
      </c>
      <c r="AS29" s="420">
        <v>14468.702000000001</v>
      </c>
      <c r="AT29" s="420">
        <v>225768</v>
      </c>
      <c r="AU29" s="420">
        <v>4343315</v>
      </c>
      <c r="AV29" s="420">
        <v>1078030</v>
      </c>
      <c r="AW29" s="418">
        <v>1792584.91811923</v>
      </c>
      <c r="AX29" s="418">
        <v>138118.98671252473</v>
      </c>
      <c r="AY29" s="420">
        <v>127975</v>
      </c>
      <c r="AZ29" s="420">
        <v>480174</v>
      </c>
      <c r="BA29" s="420">
        <v>400078</v>
      </c>
      <c r="BB29" s="420">
        <v>371345</v>
      </c>
      <c r="BC29" s="420">
        <v>357552</v>
      </c>
      <c r="BD29" s="420">
        <v>1058872</v>
      </c>
      <c r="BE29" s="420">
        <v>94961</v>
      </c>
      <c r="BF29" s="420">
        <v>35079</v>
      </c>
      <c r="BG29" s="420">
        <v>6385</v>
      </c>
      <c r="BH29" s="420">
        <v>53830</v>
      </c>
      <c r="BI29" s="420">
        <v>89681</v>
      </c>
      <c r="BJ29" s="420">
        <v>5</v>
      </c>
      <c r="BK29" s="420">
        <v>955411.19</v>
      </c>
      <c r="BL29" s="420">
        <v>0</v>
      </c>
      <c r="BM29" s="420">
        <v>0</v>
      </c>
      <c r="BN29" s="420">
        <v>87065.811</v>
      </c>
      <c r="BO29" s="420">
        <v>747494</v>
      </c>
      <c r="BP29" s="420">
        <v>506667.5</v>
      </c>
      <c r="BQ29" s="420">
        <v>234491</v>
      </c>
      <c r="BR29" s="420">
        <v>688080</v>
      </c>
      <c r="BS29" s="420">
        <v>234702.603</v>
      </c>
      <c r="BT29" s="420">
        <v>157897</v>
      </c>
      <c r="BU29" s="420">
        <v>403532</v>
      </c>
      <c r="BV29" s="420">
        <v>16991</v>
      </c>
      <c r="BW29" s="420">
        <v>120061</v>
      </c>
      <c r="BX29" s="420">
        <v>28657.5</v>
      </c>
      <c r="BY29" s="420">
        <v>15836</v>
      </c>
      <c r="BZ29" s="420">
        <v>58875</v>
      </c>
      <c r="CA29" s="420">
        <v>87307</v>
      </c>
      <c r="CB29" s="420">
        <v>442866</v>
      </c>
      <c r="CC29" s="420">
        <v>27682.264</v>
      </c>
      <c r="CD29" s="420">
        <v>43863</v>
      </c>
      <c r="CE29" s="420">
        <v>44989.092000000004</v>
      </c>
      <c r="CF29" s="420">
        <v>9588</v>
      </c>
      <c r="CG29" s="420">
        <v>69803</v>
      </c>
      <c r="CH29" s="420">
        <v>16687</v>
      </c>
      <c r="CI29" s="186"/>
      <c r="CJ29" s="250">
        <f>SUM(C29:CH29)</f>
        <v>56372764.85683049</v>
      </c>
    </row>
    <row r="30" spans="1:88" s="39" customFormat="1" ht="12.75" customHeight="1">
      <c r="A30" s="250"/>
      <c r="B30" s="419" t="s">
        <v>452</v>
      </c>
      <c r="C30" s="250">
        <f>SUM(C29)</f>
        <v>9351594.19446796</v>
      </c>
      <c r="D30" s="250">
        <f aca="true" t="shared" si="16" ref="D30:AJ30">SUM(D29)</f>
        <v>2516162.58453079</v>
      </c>
      <c r="E30" s="250">
        <f t="shared" si="16"/>
        <v>319362.474</v>
      </c>
      <c r="F30" s="250">
        <f t="shared" si="16"/>
        <v>178266.979</v>
      </c>
      <c r="G30" s="250">
        <f t="shared" si="16"/>
        <v>542501</v>
      </c>
      <c r="H30" s="250">
        <f t="shared" si="16"/>
        <v>5814670</v>
      </c>
      <c r="I30" s="250">
        <f t="shared" si="16"/>
        <v>142984</v>
      </c>
      <c r="J30" s="250">
        <f t="shared" si="16"/>
        <v>8463097</v>
      </c>
      <c r="K30" s="250">
        <f t="shared" si="16"/>
        <v>212151</v>
      </c>
      <c r="L30" s="250">
        <f t="shared" si="16"/>
        <v>329105.415</v>
      </c>
      <c r="M30" s="250">
        <f t="shared" si="16"/>
        <v>21720</v>
      </c>
      <c r="N30" s="250">
        <f t="shared" si="16"/>
        <v>1215464</v>
      </c>
      <c r="O30" s="250">
        <f t="shared" si="16"/>
        <v>145989</v>
      </c>
      <c r="P30" s="250">
        <f t="shared" si="16"/>
        <v>269</v>
      </c>
      <c r="Q30" s="250">
        <f t="shared" si="16"/>
        <v>8110</v>
      </c>
      <c r="R30" s="250">
        <f t="shared" si="16"/>
        <v>1260</v>
      </c>
      <c r="S30" s="250">
        <f t="shared" si="16"/>
        <v>3227</v>
      </c>
      <c r="T30" s="250">
        <f t="shared" si="16"/>
        <v>1308</v>
      </c>
      <c r="U30" s="250">
        <f t="shared" si="16"/>
        <v>0</v>
      </c>
      <c r="V30" s="250">
        <f t="shared" si="16"/>
        <v>278893.26399999997</v>
      </c>
      <c r="W30" s="250">
        <f t="shared" si="16"/>
        <v>152724.793</v>
      </c>
      <c r="X30" s="250">
        <f>SUM(X29)</f>
        <v>0</v>
      </c>
      <c r="Y30" s="250">
        <f t="shared" si="16"/>
        <v>547799.681</v>
      </c>
      <c r="Z30" s="250">
        <f t="shared" si="16"/>
        <v>1414142.1909999999</v>
      </c>
      <c r="AA30" s="250">
        <f t="shared" si="16"/>
        <v>480370.125</v>
      </c>
      <c r="AB30" s="250">
        <f t="shared" si="16"/>
        <v>393537.576</v>
      </c>
      <c r="AC30" s="250">
        <f>SUM(AC29)</f>
        <v>1323154</v>
      </c>
      <c r="AD30" s="250">
        <f>SUM(AD29)</f>
        <v>0</v>
      </c>
      <c r="AE30" s="250">
        <f>SUM(AE29)</f>
        <v>0</v>
      </c>
      <c r="AF30" s="250">
        <f t="shared" si="16"/>
        <v>2375838</v>
      </c>
      <c r="AG30" s="250">
        <f t="shared" si="16"/>
        <v>13241</v>
      </c>
      <c r="AH30" s="250">
        <f t="shared" si="16"/>
        <v>92740</v>
      </c>
      <c r="AI30" s="250">
        <f t="shared" si="16"/>
        <v>22702</v>
      </c>
      <c r="AJ30" s="250">
        <f t="shared" si="16"/>
        <v>35700</v>
      </c>
      <c r="AK30" s="250">
        <f>SUM(AK29)</f>
        <v>62672</v>
      </c>
      <c r="AL30" s="250">
        <f>SUM(AL29)</f>
        <v>636376</v>
      </c>
      <c r="AM30" s="250">
        <f>SUM(AM29)</f>
        <v>1559263</v>
      </c>
      <c r="AN30" s="250">
        <f>SUM(AN29)</f>
        <v>136387</v>
      </c>
      <c r="AO30" s="250">
        <f>SUM(AO29)</f>
        <v>263257</v>
      </c>
      <c r="AP30" s="250">
        <f aca="true" t="shared" si="17" ref="AP30:AX30">SUM(AP29)</f>
        <v>595054</v>
      </c>
      <c r="AQ30" s="250">
        <f t="shared" si="17"/>
        <v>51034</v>
      </c>
      <c r="AR30" s="250">
        <f t="shared" si="17"/>
        <v>1003868.013</v>
      </c>
      <c r="AS30" s="250">
        <f t="shared" si="17"/>
        <v>14468.702000000001</v>
      </c>
      <c r="AT30" s="250">
        <f t="shared" si="17"/>
        <v>225768</v>
      </c>
      <c r="AU30" s="250">
        <f t="shared" si="17"/>
        <v>4343315</v>
      </c>
      <c r="AV30" s="250">
        <f t="shared" si="17"/>
        <v>1078030</v>
      </c>
      <c r="AW30" s="250">
        <f t="shared" si="17"/>
        <v>1792584.91811923</v>
      </c>
      <c r="AX30" s="250">
        <f t="shared" si="17"/>
        <v>138118.98671252473</v>
      </c>
      <c r="AY30" s="250">
        <f aca="true" t="shared" si="18" ref="AY30:BH30">SUM(AY29)</f>
        <v>127975</v>
      </c>
      <c r="AZ30" s="250">
        <f t="shared" si="18"/>
        <v>480174</v>
      </c>
      <c r="BA30" s="250">
        <f t="shared" si="18"/>
        <v>400078</v>
      </c>
      <c r="BB30" s="250">
        <f t="shared" si="18"/>
        <v>371345</v>
      </c>
      <c r="BC30" s="250">
        <f t="shared" si="18"/>
        <v>357552</v>
      </c>
      <c r="BD30" s="250">
        <f t="shared" si="18"/>
        <v>1058872</v>
      </c>
      <c r="BE30" s="250">
        <f t="shared" si="18"/>
        <v>94961</v>
      </c>
      <c r="BF30" s="250">
        <f t="shared" si="18"/>
        <v>35079</v>
      </c>
      <c r="BG30" s="250">
        <f t="shared" si="18"/>
        <v>6385</v>
      </c>
      <c r="BH30" s="250">
        <f t="shared" si="18"/>
        <v>53830</v>
      </c>
      <c r="BI30" s="250">
        <f aca="true" t="shared" si="19" ref="BI30:BU30">SUM(BI29)</f>
        <v>89681</v>
      </c>
      <c r="BJ30" s="250">
        <f t="shared" si="19"/>
        <v>5</v>
      </c>
      <c r="BK30" s="250">
        <f t="shared" si="19"/>
        <v>955411.19</v>
      </c>
      <c r="BL30" s="250">
        <f t="shared" si="19"/>
        <v>0</v>
      </c>
      <c r="BM30" s="250">
        <f t="shared" si="19"/>
        <v>0</v>
      </c>
      <c r="BN30" s="250">
        <f t="shared" si="19"/>
        <v>87065.811</v>
      </c>
      <c r="BO30" s="250">
        <f t="shared" si="19"/>
        <v>747494</v>
      </c>
      <c r="BP30" s="250">
        <f t="shared" si="19"/>
        <v>506667.5</v>
      </c>
      <c r="BQ30" s="250">
        <f t="shared" si="19"/>
        <v>234491</v>
      </c>
      <c r="BR30" s="250">
        <f t="shared" si="19"/>
        <v>688080</v>
      </c>
      <c r="BS30" s="250">
        <f t="shared" si="19"/>
        <v>234702.603</v>
      </c>
      <c r="BT30" s="250">
        <f t="shared" si="19"/>
        <v>157897</v>
      </c>
      <c r="BU30" s="250">
        <f t="shared" si="19"/>
        <v>403532</v>
      </c>
      <c r="BV30" s="250">
        <f aca="true" t="shared" si="20" ref="BV30:CE30">SUM(BV29)</f>
        <v>16991</v>
      </c>
      <c r="BW30" s="250">
        <f t="shared" si="20"/>
        <v>120061</v>
      </c>
      <c r="BX30" s="250">
        <f t="shared" si="20"/>
        <v>28657.5</v>
      </c>
      <c r="BY30" s="250">
        <f t="shared" si="20"/>
        <v>15836</v>
      </c>
      <c r="BZ30" s="250">
        <f t="shared" si="20"/>
        <v>58875</v>
      </c>
      <c r="CA30" s="250">
        <f t="shared" si="20"/>
        <v>87307</v>
      </c>
      <c r="CB30" s="250">
        <f t="shared" si="20"/>
        <v>442866</v>
      </c>
      <c r="CC30" s="250">
        <f t="shared" si="20"/>
        <v>27682.264</v>
      </c>
      <c r="CD30" s="250">
        <f t="shared" si="20"/>
        <v>43863</v>
      </c>
      <c r="CE30" s="250">
        <f t="shared" si="20"/>
        <v>44989.092000000004</v>
      </c>
      <c r="CF30" s="250">
        <f>SUM(CF29)</f>
        <v>9588</v>
      </c>
      <c r="CG30" s="250">
        <f>SUM(CG29)</f>
        <v>69803</v>
      </c>
      <c r="CH30" s="250">
        <f>SUM(CH29)</f>
        <v>16687</v>
      </c>
      <c r="CI30" s="250"/>
      <c r="CJ30" s="250">
        <f>SUM(CJ29)</f>
        <v>56372764.85683049</v>
      </c>
    </row>
    <row r="31" spans="1:88" ht="12.75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250"/>
    </row>
    <row r="32" spans="1:88" ht="12.75" customHeight="1">
      <c r="A32" s="186"/>
      <c r="B32" s="419" t="s">
        <v>460</v>
      </c>
      <c r="C32" s="250">
        <f>+C12+C21+C26+C30</f>
        <v>203030947.544468</v>
      </c>
      <c r="D32" s="250">
        <f aca="true" t="shared" si="21" ref="D32:AJ32">+D12+D21+D26+D30</f>
        <v>106305469.22853078</v>
      </c>
      <c r="E32" s="250">
        <f t="shared" si="21"/>
        <v>4481782.811</v>
      </c>
      <c r="F32" s="250">
        <f t="shared" si="21"/>
        <v>1560140.7380000001</v>
      </c>
      <c r="G32" s="250">
        <f t="shared" si="21"/>
        <v>542501</v>
      </c>
      <c r="H32" s="250">
        <f t="shared" si="21"/>
        <v>260189575</v>
      </c>
      <c r="I32" s="250">
        <f t="shared" si="21"/>
        <v>6398105</v>
      </c>
      <c r="J32" s="250">
        <f t="shared" si="21"/>
        <v>234661698.91799998</v>
      </c>
      <c r="K32" s="250">
        <f t="shared" si="21"/>
        <v>896835</v>
      </c>
      <c r="L32" s="250">
        <f t="shared" si="21"/>
        <v>1298912.996</v>
      </c>
      <c r="M32" s="250">
        <f t="shared" si="21"/>
        <v>21720</v>
      </c>
      <c r="N32" s="250">
        <f t="shared" si="21"/>
        <v>82621072</v>
      </c>
      <c r="O32" s="250">
        <f t="shared" si="21"/>
        <v>9923561</v>
      </c>
      <c r="P32" s="250">
        <f t="shared" si="21"/>
        <v>366327</v>
      </c>
      <c r="Q32" s="250">
        <f t="shared" si="21"/>
        <v>2453681</v>
      </c>
      <c r="R32" s="250">
        <f t="shared" si="21"/>
        <v>79948</v>
      </c>
      <c r="S32" s="250">
        <f t="shared" si="21"/>
        <v>214310</v>
      </c>
      <c r="T32" s="250">
        <f t="shared" si="21"/>
        <v>91312</v>
      </c>
      <c r="U32" s="250">
        <f t="shared" si="21"/>
        <v>4969</v>
      </c>
      <c r="V32" s="250">
        <f t="shared" si="21"/>
        <v>9185603.316</v>
      </c>
      <c r="W32" s="250">
        <f t="shared" si="21"/>
        <v>4217015.365</v>
      </c>
      <c r="X32" s="250">
        <f>+X12+X21+X26+X30</f>
        <v>0</v>
      </c>
      <c r="Y32" s="250">
        <f t="shared" si="21"/>
        <v>19743413.93</v>
      </c>
      <c r="Z32" s="250">
        <f t="shared" si="21"/>
        <v>45672558.348</v>
      </c>
      <c r="AA32" s="250">
        <f t="shared" si="21"/>
        <v>11438548.454</v>
      </c>
      <c r="AB32" s="250">
        <f t="shared" si="21"/>
        <v>2148074.266</v>
      </c>
      <c r="AC32" s="250">
        <f>+AC12+AC21+AC26+AC30</f>
        <v>89010286</v>
      </c>
      <c r="AD32" s="250">
        <f>+AD12+AD21+AD26+AD30</f>
        <v>637083</v>
      </c>
      <c r="AE32" s="250">
        <f>+AE12+AE21+AE26+AE30</f>
        <v>1944704</v>
      </c>
      <c r="AF32" s="250">
        <f t="shared" si="21"/>
        <v>78712548</v>
      </c>
      <c r="AG32" s="250">
        <f t="shared" si="21"/>
        <v>13241</v>
      </c>
      <c r="AH32" s="250">
        <f t="shared" si="21"/>
        <v>901057</v>
      </c>
      <c r="AI32" s="250">
        <f t="shared" si="21"/>
        <v>173914</v>
      </c>
      <c r="AJ32" s="250">
        <f t="shared" si="21"/>
        <v>131111</v>
      </c>
      <c r="AK32" s="250">
        <f>+AK12+AK21+AK26+AK30</f>
        <v>2076318</v>
      </c>
      <c r="AL32" s="250">
        <f>+AL12+AL21+AL26+AL30</f>
        <v>12627636</v>
      </c>
      <c r="AM32" s="250">
        <f>+AM12+AM21+AM26+AM30</f>
        <v>45551820</v>
      </c>
      <c r="AN32" s="250">
        <f>+AN12+AN21+AN26+AN30</f>
        <v>3099153</v>
      </c>
      <c r="AO32" s="250">
        <f>+AO12+AO21+AO26+AO30</f>
        <v>4789576</v>
      </c>
      <c r="AP32" s="250">
        <f aca="true" t="shared" si="22" ref="AP32:AX32">+AP12+AP21+AP26+AP30</f>
        <v>54820265</v>
      </c>
      <c r="AQ32" s="250">
        <f t="shared" si="22"/>
        <v>384266</v>
      </c>
      <c r="AR32" s="250">
        <f t="shared" si="22"/>
        <v>54839874.702</v>
      </c>
      <c r="AS32" s="250">
        <f t="shared" si="22"/>
        <v>128255.702</v>
      </c>
      <c r="AT32" s="250">
        <f t="shared" si="22"/>
        <v>36193258</v>
      </c>
      <c r="AU32" s="250">
        <f t="shared" si="22"/>
        <v>25998557</v>
      </c>
      <c r="AV32" s="250">
        <f t="shared" si="22"/>
        <v>12026355</v>
      </c>
      <c r="AW32" s="250">
        <f t="shared" si="22"/>
        <v>28649170.538899228</v>
      </c>
      <c r="AX32" s="250">
        <f t="shared" si="22"/>
        <v>1929055.265</v>
      </c>
      <c r="AY32" s="250">
        <f aca="true" t="shared" si="23" ref="AY32:BH32">+AY12+AY21+AY26+AY30</f>
        <v>2355244.5</v>
      </c>
      <c r="AZ32" s="250">
        <f t="shared" si="23"/>
        <v>11599612.5</v>
      </c>
      <c r="BA32" s="250">
        <f t="shared" si="23"/>
        <v>7449517.5</v>
      </c>
      <c r="BB32" s="250">
        <f t="shared" si="23"/>
        <v>5181706</v>
      </c>
      <c r="BC32" s="250">
        <f t="shared" si="23"/>
        <v>3004018</v>
      </c>
      <c r="BD32" s="250">
        <f t="shared" si="23"/>
        <v>24859556</v>
      </c>
      <c r="BE32" s="250">
        <f t="shared" si="23"/>
        <v>2229424</v>
      </c>
      <c r="BF32" s="250">
        <f t="shared" si="23"/>
        <v>676316</v>
      </c>
      <c r="BG32" s="250">
        <f t="shared" si="23"/>
        <v>106050</v>
      </c>
      <c r="BH32" s="250">
        <f t="shared" si="23"/>
        <v>53830</v>
      </c>
      <c r="BI32" s="250">
        <f aca="true" t="shared" si="24" ref="BI32:BU32">+BI12+BI21+BI26+BI30</f>
        <v>26733465</v>
      </c>
      <c r="BJ32" s="250">
        <f t="shared" si="24"/>
        <v>366060</v>
      </c>
      <c r="BK32" s="250">
        <f t="shared" si="24"/>
        <v>23092417.267</v>
      </c>
      <c r="BL32" s="250">
        <f t="shared" si="24"/>
        <v>40415.721</v>
      </c>
      <c r="BM32" s="250">
        <f t="shared" si="24"/>
        <v>138238.078</v>
      </c>
      <c r="BN32" s="250">
        <f t="shared" si="24"/>
        <v>23179690.147</v>
      </c>
      <c r="BO32" s="250">
        <f t="shared" si="24"/>
        <v>21544802</v>
      </c>
      <c r="BP32" s="250">
        <f t="shared" si="24"/>
        <v>15323079</v>
      </c>
      <c r="BQ32" s="250">
        <f t="shared" si="24"/>
        <v>12950549</v>
      </c>
      <c r="BR32" s="250">
        <f t="shared" si="24"/>
        <v>10013851.5</v>
      </c>
      <c r="BS32" s="250">
        <f t="shared" si="24"/>
        <v>6878091.173</v>
      </c>
      <c r="BT32" s="250">
        <f t="shared" si="24"/>
        <v>6004895</v>
      </c>
      <c r="BU32" s="250">
        <f t="shared" si="24"/>
        <v>4258358</v>
      </c>
      <c r="BV32" s="250">
        <f aca="true" t="shared" si="25" ref="BV32:CE32">+BV12+BV21+BV26+BV30</f>
        <v>293513</v>
      </c>
      <c r="BW32" s="250">
        <f t="shared" si="25"/>
        <v>2415141.3</v>
      </c>
      <c r="BX32" s="250">
        <f t="shared" si="25"/>
        <v>2496045.6</v>
      </c>
      <c r="BY32" s="250">
        <f t="shared" si="25"/>
        <v>2257720</v>
      </c>
      <c r="BZ32" s="250">
        <f t="shared" si="25"/>
        <v>839557</v>
      </c>
      <c r="CA32" s="250">
        <f t="shared" si="25"/>
        <v>1133315</v>
      </c>
      <c r="CB32" s="250">
        <f t="shared" si="25"/>
        <v>767986</v>
      </c>
      <c r="CC32" s="250">
        <f t="shared" si="25"/>
        <v>466685.31600000005</v>
      </c>
      <c r="CD32" s="250">
        <f t="shared" si="25"/>
        <v>472544</v>
      </c>
      <c r="CE32" s="250">
        <f t="shared" si="25"/>
        <v>452290.54600000003</v>
      </c>
      <c r="CF32" s="250">
        <f>+CF12+CF21+CF26+CF30</f>
        <v>171939</v>
      </c>
      <c r="CG32" s="250">
        <f>+CG12+CG21+CG26+CG30</f>
        <v>71176</v>
      </c>
      <c r="CH32" s="250">
        <f>+CH12+CH21+CH26+CH30</f>
        <v>39014</v>
      </c>
      <c r="CI32" s="250"/>
      <c r="CJ32" s="250">
        <f>+CJ12+CJ21+CJ26+CJ30</f>
        <v>1682101699.270898</v>
      </c>
    </row>
    <row r="35" ht="12.75" customHeight="1">
      <c r="A35" s="39"/>
    </row>
    <row r="36" spans="2:88" ht="30" customHeight="1">
      <c r="B36" s="447" t="s">
        <v>530</v>
      </c>
      <c r="C36" s="444">
        <v>38611955.83499999</v>
      </c>
      <c r="D36" s="444">
        <v>20936462.844</v>
      </c>
      <c r="E36" s="444">
        <v>3307593.6560000004</v>
      </c>
      <c r="F36" s="444">
        <v>1246432.2170000002</v>
      </c>
      <c r="G36" s="444">
        <v>0</v>
      </c>
      <c r="H36" s="444">
        <v>60366394</v>
      </c>
      <c r="I36" s="444">
        <v>1484419</v>
      </c>
      <c r="J36" s="444">
        <v>0</v>
      </c>
      <c r="K36" s="444">
        <v>0</v>
      </c>
      <c r="L36" s="444">
        <v>0</v>
      </c>
      <c r="M36" s="444">
        <v>0</v>
      </c>
      <c r="N36" s="444">
        <v>21344539</v>
      </c>
      <c r="O36" s="444">
        <v>2563679</v>
      </c>
      <c r="P36" s="444">
        <v>58388</v>
      </c>
      <c r="Q36" s="444">
        <v>0</v>
      </c>
      <c r="R36" s="444">
        <v>29244</v>
      </c>
      <c r="S36" s="444">
        <v>50123</v>
      </c>
      <c r="T36" s="444">
        <v>11039</v>
      </c>
      <c r="U36" s="444">
        <v>0</v>
      </c>
      <c r="V36" s="444">
        <v>4750663.569999999</v>
      </c>
      <c r="W36" s="444">
        <v>2104484.025</v>
      </c>
      <c r="X36" s="444">
        <v>0</v>
      </c>
      <c r="Y36" s="444">
        <v>11407098.201</v>
      </c>
      <c r="Z36" s="444">
        <v>25799593.631</v>
      </c>
      <c r="AA36" s="444">
        <v>6638669.035999999</v>
      </c>
      <c r="AB36" s="444">
        <v>1556261.733</v>
      </c>
      <c r="AC36" s="444">
        <v>22979873</v>
      </c>
      <c r="AD36" s="444">
        <v>404015</v>
      </c>
      <c r="AE36" s="444">
        <v>1179437</v>
      </c>
      <c r="AF36" s="444">
        <v>6165160</v>
      </c>
      <c r="AG36" s="444">
        <v>0</v>
      </c>
      <c r="AH36" s="444">
        <v>0</v>
      </c>
      <c r="AI36" s="444">
        <v>0</v>
      </c>
      <c r="AJ36" s="444">
        <v>0</v>
      </c>
      <c r="AK36" s="444">
        <v>162627</v>
      </c>
      <c r="AL36" s="444">
        <v>6526715</v>
      </c>
      <c r="AM36" s="444">
        <v>27895808</v>
      </c>
      <c r="AN36" s="444">
        <v>1404345</v>
      </c>
      <c r="AO36" s="444">
        <v>946262</v>
      </c>
      <c r="AP36" s="444">
        <v>11065301</v>
      </c>
      <c r="AQ36" s="444">
        <v>384266</v>
      </c>
      <c r="AR36" s="444">
        <v>17191537.471</v>
      </c>
      <c r="AS36" s="444">
        <v>120778</v>
      </c>
      <c r="AT36" s="444">
        <v>2231350</v>
      </c>
      <c r="AU36" s="444">
        <v>2949703</v>
      </c>
      <c r="AV36" s="444">
        <v>5202003</v>
      </c>
      <c r="AW36" s="444">
        <v>5306160.521</v>
      </c>
      <c r="AX36" s="444">
        <v>1929017.642</v>
      </c>
      <c r="AY36" s="444">
        <v>1854249</v>
      </c>
      <c r="AZ36" s="444">
        <v>9528280</v>
      </c>
      <c r="BA36" s="444">
        <v>5868978</v>
      </c>
      <c r="BB36" s="444">
        <v>4322282</v>
      </c>
      <c r="BC36" s="444">
        <v>2543806</v>
      </c>
      <c r="BD36" s="444">
        <v>8478998</v>
      </c>
      <c r="BE36" s="444">
        <v>760403</v>
      </c>
      <c r="BF36" s="444">
        <v>549000</v>
      </c>
      <c r="BG36" s="444">
        <v>91311</v>
      </c>
      <c r="BH36" s="444">
        <v>0</v>
      </c>
      <c r="BI36" s="444">
        <v>6258070</v>
      </c>
      <c r="BJ36" s="444">
        <v>211801</v>
      </c>
      <c r="BK36" s="444">
        <v>6293568.079</v>
      </c>
      <c r="BL36" s="444">
        <v>12124.725</v>
      </c>
      <c r="BM36" s="444">
        <v>55295.283</v>
      </c>
      <c r="BN36" s="444">
        <v>4953348.527999999</v>
      </c>
      <c r="BO36" s="444">
        <v>16246545</v>
      </c>
      <c r="BP36" s="444">
        <v>9392581</v>
      </c>
      <c r="BQ36" s="444">
        <v>1660647</v>
      </c>
      <c r="BR36" s="444">
        <v>7233992</v>
      </c>
      <c r="BS36" s="444">
        <v>4677561.953</v>
      </c>
      <c r="BT36" s="444">
        <v>1265994</v>
      </c>
      <c r="BU36" s="444">
        <v>1816612</v>
      </c>
      <c r="BV36" s="444">
        <v>258352</v>
      </c>
      <c r="BW36" s="444">
        <v>1845574.9</v>
      </c>
      <c r="BX36" s="444">
        <v>1517351.4</v>
      </c>
      <c r="BY36" s="444">
        <v>612674</v>
      </c>
      <c r="BZ36" s="444">
        <v>523828</v>
      </c>
      <c r="CA36" s="444">
        <v>946150</v>
      </c>
      <c r="CB36" s="444">
        <v>0</v>
      </c>
      <c r="CC36" s="444">
        <v>161334</v>
      </c>
      <c r="CD36" s="444">
        <v>27106</v>
      </c>
      <c r="CE36" s="444">
        <v>188797.166</v>
      </c>
      <c r="CF36" s="444">
        <v>104830</v>
      </c>
      <c r="CG36" s="444">
        <v>0</v>
      </c>
      <c r="CH36" s="444">
        <v>0</v>
      </c>
      <c r="CI36" s="186"/>
      <c r="CJ36" s="250">
        <f>SUM(C36:CH36)</f>
        <v>416572843.41600007</v>
      </c>
    </row>
    <row r="37" spans="2:88" ht="12.75" customHeight="1">
      <c r="B37" s="445" t="s">
        <v>465</v>
      </c>
      <c r="C37" s="186">
        <f>SUM(C15:C19)+C25</f>
        <v>13029334.943</v>
      </c>
      <c r="D37" s="186">
        <f aca="true" t="shared" si="26" ref="D37:AJ37">SUM(D15:D19)+D25</f>
        <v>4103897.8040000005</v>
      </c>
      <c r="E37" s="186">
        <f t="shared" si="26"/>
        <v>111180.61499999999</v>
      </c>
      <c r="F37" s="186">
        <f t="shared" si="26"/>
        <v>34883.929000000004</v>
      </c>
      <c r="G37" s="186">
        <f t="shared" si="26"/>
        <v>0</v>
      </c>
      <c r="H37" s="186">
        <f t="shared" si="26"/>
        <v>10914787</v>
      </c>
      <c r="I37" s="186">
        <f t="shared" si="26"/>
        <v>268397</v>
      </c>
      <c r="J37" s="186">
        <f t="shared" si="26"/>
        <v>26165702.866</v>
      </c>
      <c r="K37" s="186">
        <f t="shared" si="26"/>
        <v>0</v>
      </c>
      <c r="L37" s="186">
        <f t="shared" si="26"/>
        <v>0</v>
      </c>
      <c r="M37" s="186">
        <f t="shared" si="26"/>
        <v>0</v>
      </c>
      <c r="N37" s="186">
        <f t="shared" si="26"/>
        <v>3250123</v>
      </c>
      <c r="O37" s="186">
        <f t="shared" si="26"/>
        <v>390370</v>
      </c>
      <c r="P37" s="186">
        <f t="shared" si="26"/>
        <v>16324</v>
      </c>
      <c r="Q37" s="186">
        <f t="shared" si="26"/>
        <v>178788</v>
      </c>
      <c r="R37" s="186">
        <f t="shared" si="26"/>
        <v>2628</v>
      </c>
      <c r="S37" s="186">
        <f t="shared" si="26"/>
        <v>10149</v>
      </c>
      <c r="T37" s="186">
        <f t="shared" si="26"/>
        <v>5491</v>
      </c>
      <c r="U37" s="186">
        <f t="shared" si="26"/>
        <v>363</v>
      </c>
      <c r="V37" s="186">
        <f t="shared" si="26"/>
        <v>405545.214</v>
      </c>
      <c r="W37" s="186">
        <f t="shared" si="26"/>
        <v>264516.179</v>
      </c>
      <c r="X37" s="186">
        <f>SUM(X15:X19)+X25</f>
        <v>0</v>
      </c>
      <c r="Y37" s="186">
        <f t="shared" si="26"/>
        <v>695450.841</v>
      </c>
      <c r="Z37" s="186">
        <f t="shared" si="26"/>
        <v>1811487.1909999999</v>
      </c>
      <c r="AA37" s="186">
        <f t="shared" si="26"/>
        <v>650552.209</v>
      </c>
      <c r="AB37" s="186">
        <f t="shared" si="26"/>
        <v>168988.06100000002</v>
      </c>
      <c r="AC37" s="186">
        <f>SUM(AC15:AC19)+AC25</f>
        <v>5229625</v>
      </c>
      <c r="AD37" s="186">
        <f>SUM(AD15:AD19)+AD25</f>
        <v>30609</v>
      </c>
      <c r="AE37" s="186">
        <f>SUM(AE15:AE19)+AE25</f>
        <v>58123</v>
      </c>
      <c r="AF37" s="186">
        <f t="shared" si="26"/>
        <v>6147752</v>
      </c>
      <c r="AG37" s="186">
        <f t="shared" si="26"/>
        <v>0</v>
      </c>
      <c r="AH37" s="186">
        <f t="shared" si="26"/>
        <v>32547</v>
      </c>
      <c r="AI37" s="186">
        <f t="shared" si="26"/>
        <v>4542</v>
      </c>
      <c r="AJ37" s="186">
        <f t="shared" si="26"/>
        <v>7631</v>
      </c>
      <c r="AK37" s="186">
        <f>SUM(AK15:AK19)+AK25</f>
        <v>162169</v>
      </c>
      <c r="AL37" s="186">
        <f>SUM(AL15:AL19)+AL25</f>
        <v>733705</v>
      </c>
      <c r="AM37" s="186">
        <f>SUM(AM15:AM19)+AM25</f>
        <v>1631067</v>
      </c>
      <c r="AN37" s="186">
        <f>SUM(AN15:AN19)+AN25</f>
        <v>171313</v>
      </c>
      <c r="AO37" s="186">
        <f>SUM(AO15:AO19)+AO25</f>
        <v>509290</v>
      </c>
      <c r="AP37" s="186">
        <f aca="true" t="shared" si="27" ref="AP37:AX37">SUM(AP15:AP19)+AP25</f>
        <v>311800</v>
      </c>
      <c r="AQ37" s="186">
        <f t="shared" si="27"/>
        <v>0</v>
      </c>
      <c r="AR37" s="186">
        <f t="shared" si="27"/>
        <v>4107424.4800000004</v>
      </c>
      <c r="AS37" s="186">
        <f t="shared" si="27"/>
        <v>5048</v>
      </c>
      <c r="AT37" s="186">
        <f t="shared" si="27"/>
        <v>121162</v>
      </c>
      <c r="AU37" s="186">
        <f t="shared" si="27"/>
        <v>2316781</v>
      </c>
      <c r="AV37" s="186">
        <f t="shared" si="27"/>
        <v>876380</v>
      </c>
      <c r="AW37" s="186">
        <f t="shared" si="27"/>
        <v>1661566.939</v>
      </c>
      <c r="AX37" s="186">
        <f t="shared" si="27"/>
        <v>0</v>
      </c>
      <c r="AY37" s="186">
        <f aca="true" t="shared" si="28" ref="AY37:BH37">SUM(AY15:AY19)+AY25</f>
        <v>274899</v>
      </c>
      <c r="AZ37" s="186">
        <f t="shared" si="28"/>
        <v>1122224.5</v>
      </c>
      <c r="BA37" s="186">
        <f t="shared" si="28"/>
        <v>798164.5</v>
      </c>
      <c r="BB37" s="186">
        <f t="shared" si="28"/>
        <v>653525</v>
      </c>
      <c r="BC37" s="186">
        <f t="shared" si="28"/>
        <v>310906</v>
      </c>
      <c r="BD37" s="186">
        <f t="shared" si="28"/>
        <v>1054024</v>
      </c>
      <c r="BE37" s="186">
        <f t="shared" si="28"/>
        <v>94525</v>
      </c>
      <c r="BF37" s="186">
        <f t="shared" si="28"/>
        <v>11280</v>
      </c>
      <c r="BG37" s="186">
        <f t="shared" si="28"/>
        <v>1698</v>
      </c>
      <c r="BH37" s="186">
        <f t="shared" si="28"/>
        <v>0</v>
      </c>
      <c r="BI37" s="186">
        <f aca="true" t="shared" si="29" ref="BI37:BU37">SUM(BI15:BI19)+BI25</f>
        <v>1103651</v>
      </c>
      <c r="BJ37" s="186">
        <f t="shared" si="29"/>
        <v>0</v>
      </c>
      <c r="BK37" s="186">
        <f t="shared" si="29"/>
        <v>1701468.0010000002</v>
      </c>
      <c r="BL37" s="186">
        <f t="shared" si="29"/>
        <v>0</v>
      </c>
      <c r="BM37" s="186">
        <f t="shared" si="29"/>
        <v>0</v>
      </c>
      <c r="BN37" s="186">
        <f t="shared" si="29"/>
        <v>1164459.837</v>
      </c>
      <c r="BO37" s="186">
        <f t="shared" si="29"/>
        <v>1724960</v>
      </c>
      <c r="BP37" s="186">
        <f t="shared" si="29"/>
        <v>1214099</v>
      </c>
      <c r="BQ37" s="186">
        <f t="shared" si="29"/>
        <v>1078851</v>
      </c>
      <c r="BR37" s="186">
        <f t="shared" si="29"/>
        <v>992850</v>
      </c>
      <c r="BS37" s="186">
        <f t="shared" si="29"/>
        <v>384157.956</v>
      </c>
      <c r="BT37" s="186">
        <f t="shared" si="29"/>
        <v>693617</v>
      </c>
      <c r="BU37" s="186">
        <f t="shared" si="29"/>
        <v>1094373</v>
      </c>
      <c r="BV37" s="186">
        <f aca="true" t="shared" si="30" ref="BV37:CE37">SUM(BV15:BV19)+BV25</f>
        <v>16955</v>
      </c>
      <c r="BW37" s="186">
        <f t="shared" si="30"/>
        <v>216553.2</v>
      </c>
      <c r="BX37" s="186">
        <f t="shared" si="30"/>
        <v>47526.1</v>
      </c>
      <c r="BY37" s="186">
        <f>SUM(BY15:BY19)+BY25</f>
        <v>110678</v>
      </c>
      <c r="BZ37" s="186">
        <f t="shared" si="30"/>
        <v>115312</v>
      </c>
      <c r="CA37" s="186">
        <f t="shared" si="30"/>
        <v>86444</v>
      </c>
      <c r="CB37" s="186">
        <f t="shared" si="30"/>
        <v>93874</v>
      </c>
      <c r="CC37" s="186">
        <f t="shared" si="30"/>
        <v>3263</v>
      </c>
      <c r="CD37" s="186">
        <f t="shared" si="30"/>
        <v>37264</v>
      </c>
      <c r="CE37" s="186">
        <f t="shared" si="30"/>
        <v>1349.734</v>
      </c>
      <c r="CF37" s="186">
        <f>SUM(CF15:CF19)+CF25</f>
        <v>42723</v>
      </c>
      <c r="CG37" s="186">
        <f>SUM(CG15:CG19)+CG25</f>
        <v>663</v>
      </c>
      <c r="CH37" s="186">
        <f>SUM(CH15:CH19)+CH25</f>
        <v>0</v>
      </c>
      <c r="CI37" s="186"/>
      <c r="CJ37" s="250">
        <f>SUM(C37:CH37)</f>
        <v>102843833.09899999</v>
      </c>
    </row>
    <row r="38" spans="2:88" ht="12.75" customHeight="1">
      <c r="B38" s="445" t="s">
        <v>466</v>
      </c>
      <c r="C38" s="446">
        <v>58108692.033999994</v>
      </c>
      <c r="D38" s="446">
        <v>31473191.733999997</v>
      </c>
      <c r="E38" s="446">
        <v>1399969.9050000003</v>
      </c>
      <c r="F38" s="446">
        <v>269163.202</v>
      </c>
      <c r="G38" s="446">
        <v>0</v>
      </c>
      <c r="H38" s="446">
        <v>86456289</v>
      </c>
      <c r="I38" s="446">
        <v>2125974</v>
      </c>
      <c r="J38" s="446">
        <v>68067590.11</v>
      </c>
      <c r="K38" s="446">
        <v>178013</v>
      </c>
      <c r="L38" s="446">
        <v>178947.99800000002</v>
      </c>
      <c r="M38" s="446">
        <v>0</v>
      </c>
      <c r="N38" s="446">
        <v>26636312</v>
      </c>
      <c r="O38" s="446">
        <v>3199270</v>
      </c>
      <c r="P38" s="446">
        <v>58388</v>
      </c>
      <c r="Q38" s="446">
        <v>0</v>
      </c>
      <c r="R38" s="446">
        <v>43998</v>
      </c>
      <c r="S38" s="446">
        <v>75481</v>
      </c>
      <c r="T38" s="446">
        <v>16199</v>
      </c>
      <c r="U38" s="446">
        <v>0</v>
      </c>
      <c r="V38" s="446">
        <v>2162557.918</v>
      </c>
      <c r="W38" s="446">
        <v>70663.63</v>
      </c>
      <c r="X38" s="446">
        <v>0</v>
      </c>
      <c r="Y38" s="446">
        <v>7851324.663</v>
      </c>
      <c r="Z38" s="446">
        <v>15290249.917000001</v>
      </c>
      <c r="AA38" s="446">
        <v>1437226.054</v>
      </c>
      <c r="AB38" s="446">
        <v>4063.415</v>
      </c>
      <c r="AC38" s="446">
        <v>26021540</v>
      </c>
      <c r="AD38" s="446">
        <v>93006</v>
      </c>
      <c r="AE38" s="446">
        <v>588862</v>
      </c>
      <c r="AF38" s="446">
        <v>18551115</v>
      </c>
      <c r="AG38" s="446">
        <v>0</v>
      </c>
      <c r="AH38" s="446">
        <v>0</v>
      </c>
      <c r="AI38" s="446">
        <v>3313</v>
      </c>
      <c r="AJ38" s="446">
        <v>2552</v>
      </c>
      <c r="AK38" s="446">
        <v>489351</v>
      </c>
      <c r="AL38" s="446">
        <v>3751522</v>
      </c>
      <c r="AM38" s="446">
        <v>14732279</v>
      </c>
      <c r="AN38" s="446">
        <v>365355</v>
      </c>
      <c r="AO38" s="446">
        <v>0</v>
      </c>
      <c r="AP38" s="446">
        <v>13213143</v>
      </c>
      <c r="AQ38" s="446">
        <v>65524</v>
      </c>
      <c r="AR38" s="446">
        <v>14512160.011000002</v>
      </c>
      <c r="AS38" s="446">
        <v>25513</v>
      </c>
      <c r="AT38" s="446">
        <v>690946</v>
      </c>
      <c r="AU38" s="446">
        <v>9662</v>
      </c>
      <c r="AV38" s="446">
        <v>2364167</v>
      </c>
      <c r="AW38" s="446">
        <v>7883508.92689923</v>
      </c>
      <c r="AX38" s="446">
        <v>0</v>
      </c>
      <c r="AY38" s="446">
        <v>436910</v>
      </c>
      <c r="AZ38" s="446">
        <v>3030682</v>
      </c>
      <c r="BA38" s="446">
        <v>1457891</v>
      </c>
      <c r="BB38" s="446">
        <v>395090</v>
      </c>
      <c r="BC38" s="446">
        <v>0</v>
      </c>
      <c r="BD38" s="446">
        <v>6467062</v>
      </c>
      <c r="BE38" s="446">
        <v>579971</v>
      </c>
      <c r="BF38" s="446">
        <v>219906</v>
      </c>
      <c r="BG38" s="446">
        <v>11100</v>
      </c>
      <c r="BH38" s="446">
        <v>0</v>
      </c>
      <c r="BI38" s="446">
        <v>7224506</v>
      </c>
      <c r="BJ38" s="446">
        <v>22207</v>
      </c>
      <c r="BK38" s="446">
        <v>8051048.881000001</v>
      </c>
      <c r="BL38" s="446">
        <v>12124.725</v>
      </c>
      <c r="BM38" s="446">
        <v>55295.283</v>
      </c>
      <c r="BN38" s="446">
        <v>7480290.931</v>
      </c>
      <c r="BO38" s="446">
        <v>4827494</v>
      </c>
      <c r="BP38" s="446">
        <v>2624741</v>
      </c>
      <c r="BQ38" s="446">
        <v>265378</v>
      </c>
      <c r="BR38" s="446">
        <v>1185892</v>
      </c>
      <c r="BS38" s="446">
        <v>180489.392</v>
      </c>
      <c r="BT38" s="446">
        <v>55949</v>
      </c>
      <c r="BU38" s="446">
        <v>744954</v>
      </c>
      <c r="BV38" s="446">
        <v>52591</v>
      </c>
      <c r="BW38" s="446">
        <v>480046</v>
      </c>
      <c r="BX38" s="446">
        <v>748179.7000000001</v>
      </c>
      <c r="BY38" s="446">
        <v>559871</v>
      </c>
      <c r="BZ38" s="446">
        <v>198367</v>
      </c>
      <c r="CA38" s="446">
        <v>121141</v>
      </c>
      <c r="CB38" s="446">
        <v>5990</v>
      </c>
      <c r="CC38" s="446">
        <v>11707</v>
      </c>
      <c r="CD38" s="446">
        <v>23313</v>
      </c>
      <c r="CE38" s="446">
        <v>26720.253</v>
      </c>
      <c r="CF38" s="446">
        <v>0</v>
      </c>
      <c r="CG38" s="446">
        <v>0</v>
      </c>
      <c r="CH38" s="446">
        <v>0</v>
      </c>
      <c r="CI38" s="186"/>
      <c r="CJ38" s="250">
        <f>SUM(C38:CH38)</f>
        <v>456023991.6828993</v>
      </c>
    </row>
  </sheetData>
  <sheetProtection formatCells="0" formatColumns="0" formatRows="0" insertColumns="0" insertRows="0" insertHyperlinks="0" deleteColumns="0" deleteRows="0" sort="0" autoFilter="0" pivotTables="0"/>
  <mergeCells count="53">
    <mergeCell ref="N1:U1"/>
    <mergeCell ref="AF1:AK1"/>
    <mergeCell ref="BU1:BU3"/>
    <mergeCell ref="BT1:BT3"/>
    <mergeCell ref="BQ1:BQ3"/>
    <mergeCell ref="CC1:CC3"/>
    <mergeCell ref="BX1:BX3"/>
    <mergeCell ref="CA1:CA3"/>
    <mergeCell ref="CB1:CB3"/>
    <mergeCell ref="BP1:BP3"/>
    <mergeCell ref="C1:G1"/>
    <mergeCell ref="AT1:AT3"/>
    <mergeCell ref="BD1:BH1"/>
    <mergeCell ref="J1:M1"/>
    <mergeCell ref="AY1:BC1"/>
    <mergeCell ref="BO1:BO3"/>
    <mergeCell ref="AR1:AS1"/>
    <mergeCell ref="H1:I1"/>
    <mergeCell ref="BN1:BN3"/>
    <mergeCell ref="V1:AB1"/>
    <mergeCell ref="CH1:CH3"/>
    <mergeCell ref="BR1:BR3"/>
    <mergeCell ref="CE1:CE3"/>
    <mergeCell ref="CG1:CG3"/>
    <mergeCell ref="BV1:BW1"/>
    <mergeCell ref="CF1:CF3"/>
    <mergeCell ref="CD1:CD3"/>
    <mergeCell ref="BZ1:BZ3"/>
    <mergeCell ref="BY1:BY3"/>
    <mergeCell ref="AL1:AO1"/>
    <mergeCell ref="AC1:AE1"/>
    <mergeCell ref="BS1:BS3"/>
    <mergeCell ref="AU1:AV1"/>
    <mergeCell ref="BI1:BJ1"/>
    <mergeCell ref="AP1:AQ1"/>
    <mergeCell ref="BK1:BM1"/>
    <mergeCell ref="C4:G4"/>
    <mergeCell ref="BD4:BH4"/>
    <mergeCell ref="BV4:BW4"/>
    <mergeCell ref="J4:M4"/>
    <mergeCell ref="AY4:BC4"/>
    <mergeCell ref="AU4:AV4"/>
    <mergeCell ref="V4:AB4"/>
    <mergeCell ref="AR4:AS4"/>
    <mergeCell ref="AL4:AO4"/>
    <mergeCell ref="H4:I4"/>
    <mergeCell ref="BI4:BJ4"/>
    <mergeCell ref="BK4:BM4"/>
    <mergeCell ref="AC4:AE4"/>
    <mergeCell ref="N4:U4"/>
    <mergeCell ref="AF4:AK4"/>
    <mergeCell ref="AP4:AQ4"/>
    <mergeCell ref="AW4:AX4"/>
  </mergeCells>
  <printOptions/>
  <pageMargins left="0.3937007874015748" right="0.3937007874015748" top="0.984251968503937" bottom="0.5905511811023623" header="0.5118110236220472" footer="0.5118110236220472"/>
  <pageSetup firstPageNumber="61" useFirstPageNumber="1" horizontalDpi="300" verticalDpi="300" orientation="landscape" paperSize="9" r:id="rId1"/>
  <headerFooter alignWithMargins="0">
    <oddHeader>&amp;C&amp;"Times New Roman,Bold"&amp;12 6.1 SUNDURLIÐUN Á FJÁRFESTINGUM 31.12.2007 Í SAMRÆMI VIÐ ÁKVÆÐI LAGA NR. 129/1997</oddHeader>
    <oddFooter>&amp;R&amp;"Times New Roman,Regular"&amp;P</oddFooter>
  </headerFooter>
  <colBreaks count="6" manualBreakCount="6">
    <brk id="13" max="38" man="1"/>
    <brk id="21" max="38" man="1"/>
    <brk id="31" max="65535" man="1"/>
    <brk id="41" max="37" man="1"/>
    <brk id="50" max="37" man="1"/>
    <brk id="7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workbookViewId="0" topLeftCell="A1">
      <selection activeCell="A1" sqref="A1:G34"/>
    </sheetView>
  </sheetViews>
  <sheetFormatPr defaultColWidth="9.140625" defaultRowHeight="12.75" customHeight="1"/>
  <cols>
    <col min="1" max="1" width="35.28125" style="70" customWidth="1"/>
    <col min="2" max="2" width="13.421875" style="70" bestFit="1" customWidth="1"/>
    <col min="3" max="3" width="11.57421875" style="70" customWidth="1"/>
    <col min="4" max="4" width="12.00390625" style="70" customWidth="1"/>
    <col min="5" max="5" width="11.140625" style="70" customWidth="1"/>
    <col min="6" max="6" width="10.8515625" style="70" bestFit="1" customWidth="1"/>
    <col min="7" max="7" width="10.8515625" style="70" customWidth="1"/>
    <col min="8" max="8" width="9.140625" style="70" customWidth="1"/>
    <col min="9" max="9" width="10.28125" style="70" customWidth="1"/>
    <col min="10" max="10" width="13.7109375" style="70" customWidth="1"/>
    <col min="11" max="16384" width="9.140625" style="70" customWidth="1"/>
  </cols>
  <sheetData>
    <row r="1" spans="1:7" ht="12.75" customHeight="1">
      <c r="A1" s="449"/>
      <c r="B1" s="501" t="s">
        <v>467</v>
      </c>
      <c r="C1" s="501"/>
      <c r="D1" s="502" t="s">
        <v>40</v>
      </c>
      <c r="E1" s="502"/>
      <c r="F1" s="502" t="s">
        <v>46</v>
      </c>
      <c r="G1" s="502"/>
    </row>
    <row r="2" spans="1:7" ht="12.75" customHeight="1">
      <c r="A2" s="398" t="s">
        <v>8</v>
      </c>
      <c r="B2" s="464">
        <v>39446</v>
      </c>
      <c r="C2" s="464">
        <v>39082</v>
      </c>
      <c r="D2" s="465">
        <v>2007</v>
      </c>
      <c r="E2" s="465">
        <v>2006</v>
      </c>
      <c r="F2" s="465">
        <v>2007</v>
      </c>
      <c r="G2" s="465">
        <v>2006</v>
      </c>
    </row>
    <row r="3" spans="1:7" ht="12.75" customHeight="1">
      <c r="A3" s="107"/>
      <c r="C3" s="108"/>
      <c r="E3" s="109"/>
      <c r="G3" s="109"/>
    </row>
    <row r="4" spans="1:7" ht="24" customHeight="1">
      <c r="A4" s="466" t="s">
        <v>602</v>
      </c>
      <c r="B4" s="179">
        <f>B19</f>
        <v>135812477</v>
      </c>
      <c r="C4" s="179">
        <v>117411504.532</v>
      </c>
      <c r="D4" s="179">
        <f>D19</f>
        <v>14302473</v>
      </c>
      <c r="E4" s="451">
        <f>+E19</f>
        <v>12003023.303000001</v>
      </c>
      <c r="F4" s="179">
        <f>F19</f>
        <v>2159728</v>
      </c>
      <c r="G4" s="451">
        <f>+G19</f>
        <v>1470603.0110000002</v>
      </c>
    </row>
    <row r="5" spans="1:7" ht="12.75" customHeight="1">
      <c r="A5" s="449" t="s">
        <v>468</v>
      </c>
      <c r="B5" s="179">
        <f>'2.3 Kerfi'!J42-'7.1 Séreign þróun'!B4</f>
        <v>28691689</v>
      </c>
      <c r="C5" s="451">
        <v>24484929</v>
      </c>
      <c r="D5" s="179">
        <f>'5.1. Séreignard.'!AT13-'7.1 Séreign þróun'!D4</f>
        <v>4848800</v>
      </c>
      <c r="E5" s="451">
        <v>2902124</v>
      </c>
      <c r="F5" s="179">
        <f>'5.1. Séreignard.'!AT20-'7.1 Séreign þróun'!F4</f>
        <v>692752</v>
      </c>
      <c r="G5" s="451">
        <v>155299</v>
      </c>
    </row>
    <row r="6" spans="1:7" ht="12.75" customHeight="1">
      <c r="A6" s="449" t="s">
        <v>603</v>
      </c>
      <c r="B6" s="179">
        <v>73251081</v>
      </c>
      <c r="C6" s="451">
        <v>55699603.024</v>
      </c>
      <c r="D6" s="179">
        <v>13465982</v>
      </c>
      <c r="E6" s="451">
        <v>10799437.727</v>
      </c>
      <c r="F6" s="179">
        <v>1101373</v>
      </c>
      <c r="G6" s="451">
        <v>1365470.687</v>
      </c>
    </row>
    <row r="7" spans="1:9" ht="12.75" customHeight="1">
      <c r="A7" s="467" t="s">
        <v>424</v>
      </c>
      <c r="B7" s="454">
        <f aca="true" t="shared" si="0" ref="B7:G7">SUM(B4:B6)</f>
        <v>237755247</v>
      </c>
      <c r="C7" s="453">
        <f t="shared" si="0"/>
        <v>197596036.556</v>
      </c>
      <c r="D7" s="454">
        <f t="shared" si="0"/>
        <v>32617255</v>
      </c>
      <c r="E7" s="453">
        <f t="shared" si="0"/>
        <v>25704585.03</v>
      </c>
      <c r="F7" s="454">
        <f t="shared" si="0"/>
        <v>3953853</v>
      </c>
      <c r="G7" s="453">
        <f t="shared" si="0"/>
        <v>2991372.698</v>
      </c>
      <c r="H7" s="33"/>
      <c r="I7" s="110"/>
    </row>
    <row r="8" spans="1:10" ht="12.75" customHeight="1">
      <c r="A8" s="112"/>
      <c r="B8" s="113"/>
      <c r="C8" s="114"/>
      <c r="D8" s="114"/>
      <c r="G8" s="114"/>
      <c r="J8" s="115"/>
    </row>
    <row r="9" spans="1:10" ht="12.75" customHeight="1">
      <c r="A9" s="116"/>
      <c r="B9" s="111"/>
      <c r="C9" s="117"/>
      <c r="D9" s="114"/>
      <c r="E9" s="114"/>
      <c r="F9" s="114"/>
      <c r="G9" s="114"/>
      <c r="J9" s="115"/>
    </row>
    <row r="10" spans="1:10" ht="12.75" customHeight="1">
      <c r="A10" s="116"/>
      <c r="B10" s="111"/>
      <c r="C10" s="117"/>
      <c r="D10" s="114"/>
      <c r="E10" s="114"/>
      <c r="F10" s="114"/>
      <c r="G10" s="114"/>
      <c r="J10" s="115"/>
    </row>
    <row r="11" spans="1:10" ht="12.75" customHeight="1">
      <c r="A11" s="116"/>
      <c r="B11" s="111"/>
      <c r="C11" s="117"/>
      <c r="D11" s="114"/>
      <c r="E11" s="114"/>
      <c r="F11" s="114"/>
      <c r="G11" s="114"/>
      <c r="J11" s="115"/>
    </row>
    <row r="12" spans="1:10" ht="12.75" customHeight="1">
      <c r="A12" s="116"/>
      <c r="B12" s="111"/>
      <c r="C12" s="117" t="s">
        <v>604</v>
      </c>
      <c r="D12" s="114"/>
      <c r="E12" s="114"/>
      <c r="F12" s="114"/>
      <c r="G12" s="114"/>
      <c r="J12" s="115"/>
    </row>
    <row r="13" spans="1:10" ht="12.75" customHeight="1">
      <c r="A13" s="116"/>
      <c r="B13" s="111"/>
      <c r="C13" s="117"/>
      <c r="D13" s="114"/>
      <c r="E13" s="114"/>
      <c r="F13" s="114"/>
      <c r="G13" s="114"/>
      <c r="J13" s="115"/>
    </row>
    <row r="14" spans="1:10" ht="12.75" customHeight="1">
      <c r="A14" s="116"/>
      <c r="B14" s="111"/>
      <c r="C14" s="117"/>
      <c r="D14" s="114"/>
      <c r="E14" s="114"/>
      <c r="F14" s="114"/>
      <c r="G14" s="114"/>
      <c r="J14" s="115"/>
    </row>
    <row r="15" spans="1:10" ht="12.75" customHeight="1">
      <c r="A15" s="116"/>
      <c r="B15" s="111"/>
      <c r="C15" s="117"/>
      <c r="D15" s="114"/>
      <c r="E15" s="114"/>
      <c r="F15" s="114"/>
      <c r="G15" s="114"/>
      <c r="J15" s="115"/>
    </row>
    <row r="16" spans="1:10" ht="12.75" customHeight="1">
      <c r="A16" s="462" t="s">
        <v>481</v>
      </c>
      <c r="B16" s="449"/>
      <c r="C16" s="463"/>
      <c r="D16" s="180"/>
      <c r="E16" s="450"/>
      <c r="F16" s="450"/>
      <c r="G16" s="450"/>
      <c r="J16" s="115"/>
    </row>
    <row r="17" spans="1:10" ht="12.75" customHeight="1">
      <c r="A17" s="449" t="s">
        <v>531</v>
      </c>
      <c r="B17" s="181">
        <v>17732480</v>
      </c>
      <c r="C17" s="451">
        <v>15542312.399</v>
      </c>
      <c r="D17" s="181">
        <v>1767534</v>
      </c>
      <c r="E17" s="451">
        <v>1627158.228</v>
      </c>
      <c r="F17" s="181">
        <v>80209</v>
      </c>
      <c r="G17" s="451">
        <v>30247.607</v>
      </c>
      <c r="J17" s="115"/>
    </row>
    <row r="18" spans="1:10" ht="12.75" customHeight="1">
      <c r="A18" s="449" t="s">
        <v>469</v>
      </c>
      <c r="B18" s="181">
        <v>118079997</v>
      </c>
      <c r="C18" s="451">
        <v>101869192.133</v>
      </c>
      <c r="D18" s="181">
        <v>12534939</v>
      </c>
      <c r="E18" s="451">
        <v>10375865.075000001</v>
      </c>
      <c r="F18" s="181">
        <v>2079519</v>
      </c>
      <c r="G18" s="451">
        <v>1440355.404</v>
      </c>
      <c r="J18" s="115"/>
    </row>
    <row r="19" spans="1:10" ht="12.75" customHeight="1">
      <c r="A19" s="452" t="s">
        <v>424</v>
      </c>
      <c r="B19" s="474">
        <f aca="true" t="shared" si="1" ref="B19:G19">SUM(B17:B18)</f>
        <v>135812477</v>
      </c>
      <c r="C19" s="453">
        <f t="shared" si="1"/>
        <v>117411504.532</v>
      </c>
      <c r="D19" s="453">
        <f t="shared" si="1"/>
        <v>14302473</v>
      </c>
      <c r="E19" s="453">
        <f t="shared" si="1"/>
        <v>12003023.303000001</v>
      </c>
      <c r="F19" s="453">
        <f t="shared" si="1"/>
        <v>2159728</v>
      </c>
      <c r="G19" s="453">
        <f t="shared" si="1"/>
        <v>1470603.0110000002</v>
      </c>
      <c r="J19" s="115"/>
    </row>
    <row r="20" spans="1:7" ht="12.75" customHeight="1">
      <c r="A20" s="450" t="s">
        <v>606</v>
      </c>
      <c r="B20" s="181">
        <v>12518977</v>
      </c>
      <c r="C20" s="451">
        <v>12923307.196</v>
      </c>
      <c r="D20" s="181">
        <v>2247084</v>
      </c>
      <c r="E20" s="451">
        <v>1095579.671</v>
      </c>
      <c r="F20" s="181"/>
      <c r="G20" s="181"/>
    </row>
    <row r="21" spans="1:7" ht="12.75" customHeight="1">
      <c r="A21" s="107"/>
      <c r="B21" s="107"/>
      <c r="C21" s="118"/>
      <c r="D21" s="118"/>
      <c r="E21" s="118"/>
      <c r="F21" s="118"/>
      <c r="G21" s="118"/>
    </row>
    <row r="22" spans="1:7" ht="12.75" customHeight="1">
      <c r="A22" s="107"/>
      <c r="B22" s="107"/>
      <c r="C22" s="118"/>
      <c r="D22" s="118"/>
      <c r="E22" s="118"/>
      <c r="F22" s="118"/>
      <c r="G22" s="118"/>
    </row>
    <row r="23" spans="1:7" ht="12.75" customHeight="1">
      <c r="A23" s="107"/>
      <c r="B23" s="107"/>
      <c r="C23" s="118"/>
      <c r="D23" s="118"/>
      <c r="E23" s="118"/>
      <c r="F23" s="118"/>
      <c r="G23" s="118"/>
    </row>
    <row r="24" spans="1:7" ht="12.75" customHeight="1">
      <c r="A24" s="449"/>
      <c r="B24" s="499" t="s">
        <v>467</v>
      </c>
      <c r="C24" s="500"/>
      <c r="D24" s="500"/>
      <c r="E24" s="500"/>
      <c r="F24" s="500"/>
      <c r="G24" s="455"/>
    </row>
    <row r="25" spans="1:7" ht="12.75" customHeight="1">
      <c r="A25" s="456"/>
      <c r="B25" s="457" t="s">
        <v>600</v>
      </c>
      <c r="C25" s="457" t="s">
        <v>480</v>
      </c>
      <c r="D25" s="457" t="s">
        <v>470</v>
      </c>
      <c r="E25" s="457" t="s">
        <v>471</v>
      </c>
      <c r="F25" s="457" t="s">
        <v>472</v>
      </c>
      <c r="G25" s="457" t="s">
        <v>473</v>
      </c>
    </row>
    <row r="26" spans="1:7" ht="12.75" customHeight="1">
      <c r="A26" s="180" t="s">
        <v>601</v>
      </c>
      <c r="B26" s="449"/>
      <c r="C26" s="449"/>
      <c r="D26" s="180"/>
      <c r="E26" s="449"/>
      <c r="F26" s="458"/>
      <c r="G26" s="458"/>
    </row>
    <row r="27" spans="1:7" ht="12.75" customHeight="1">
      <c r="A27" s="459" t="s">
        <v>474</v>
      </c>
      <c r="B27" s="179">
        <v>54729980</v>
      </c>
      <c r="C27" s="451">
        <v>42733309.331999995</v>
      </c>
      <c r="D27" s="451">
        <v>30725574.684</v>
      </c>
      <c r="E27" s="451">
        <v>21472925</v>
      </c>
      <c r="F27" s="451">
        <v>12404684</v>
      </c>
      <c r="G27" s="451">
        <v>7013146.091</v>
      </c>
    </row>
    <row r="28" spans="1:7" ht="12.75" customHeight="1">
      <c r="A28" s="459" t="s">
        <v>475</v>
      </c>
      <c r="B28" s="179">
        <v>12963480</v>
      </c>
      <c r="C28" s="451">
        <v>9323803</v>
      </c>
      <c r="D28" s="451">
        <v>7083185</v>
      </c>
      <c r="E28" s="451">
        <v>5095430</v>
      </c>
      <c r="F28" s="451">
        <v>3359891</v>
      </c>
      <c r="G28" s="451">
        <v>1794357.803</v>
      </c>
    </row>
    <row r="29" spans="1:7" ht="12.75" customHeight="1">
      <c r="A29" s="459" t="s">
        <v>476</v>
      </c>
      <c r="B29" s="179">
        <v>5557621</v>
      </c>
      <c r="C29" s="451">
        <v>3642490.692</v>
      </c>
      <c r="D29" s="451">
        <v>3030315</v>
      </c>
      <c r="E29" s="451">
        <v>2001150</v>
      </c>
      <c r="F29" s="451">
        <v>446931</v>
      </c>
      <c r="G29" s="451">
        <v>254123.053</v>
      </c>
    </row>
    <row r="30" spans="1:7" ht="12.75" customHeight="1">
      <c r="A30" s="460" t="s">
        <v>424</v>
      </c>
      <c r="B30" s="454">
        <f aca="true" t="shared" si="2" ref="B30:G30">SUM(B27:B29)</f>
        <v>73251081</v>
      </c>
      <c r="C30" s="461">
        <f t="shared" si="2"/>
        <v>55699603.024</v>
      </c>
      <c r="D30" s="453">
        <f t="shared" si="2"/>
        <v>40839074.684</v>
      </c>
      <c r="E30" s="453">
        <f t="shared" si="2"/>
        <v>28569505</v>
      </c>
      <c r="F30" s="453">
        <f t="shared" si="2"/>
        <v>16211506</v>
      </c>
      <c r="G30" s="453">
        <f t="shared" si="2"/>
        <v>9061626.946999999</v>
      </c>
    </row>
    <row r="31" spans="1:7" ht="12.75" customHeight="1">
      <c r="A31" s="107"/>
      <c r="B31" s="473"/>
      <c r="C31" s="118"/>
      <c r="D31" s="107"/>
      <c r="E31" s="107"/>
      <c r="F31" s="107"/>
      <c r="G31" s="118"/>
    </row>
    <row r="32" spans="1:7" ht="12.75" customHeight="1">
      <c r="A32" s="449" t="s">
        <v>477</v>
      </c>
      <c r="B32" s="181">
        <v>116426</v>
      </c>
      <c r="C32" s="450">
        <v>104914</v>
      </c>
      <c r="D32" s="450">
        <v>92717</v>
      </c>
      <c r="E32" s="450">
        <v>91297</v>
      </c>
      <c r="F32" s="451">
        <v>72882</v>
      </c>
      <c r="G32" s="451">
        <v>52268</v>
      </c>
    </row>
    <row r="33" spans="1:7" ht="12.75" customHeight="1">
      <c r="A33" s="449" t="s">
        <v>478</v>
      </c>
      <c r="B33" s="181">
        <v>54771</v>
      </c>
      <c r="C33" s="450">
        <v>55080</v>
      </c>
      <c r="D33" s="450">
        <v>42313</v>
      </c>
      <c r="E33" s="450">
        <v>55044</v>
      </c>
      <c r="F33" s="451">
        <v>61590</v>
      </c>
      <c r="G33" s="451">
        <v>35340</v>
      </c>
    </row>
    <row r="34" spans="1:7" ht="12.75" customHeight="1">
      <c r="A34" s="449" t="s">
        <v>479</v>
      </c>
      <c r="B34" s="181">
        <v>1134</v>
      </c>
      <c r="C34" s="450">
        <v>1180</v>
      </c>
      <c r="D34" s="450">
        <v>442</v>
      </c>
      <c r="E34" s="450">
        <v>643</v>
      </c>
      <c r="F34" s="451">
        <v>201</v>
      </c>
      <c r="G34" s="451">
        <v>207</v>
      </c>
    </row>
    <row r="35" ht="12.75" customHeight="1">
      <c r="B35" s="119"/>
    </row>
    <row r="37" spans="4:5" ht="12.75" customHeight="1">
      <c r="D37" s="31"/>
      <c r="E37" s="33"/>
    </row>
    <row r="38" spans="4:5" ht="12.75" customHeight="1">
      <c r="D38" s="120"/>
      <c r="E38" s="33"/>
    </row>
    <row r="39" spans="4:5" ht="12.75" customHeight="1">
      <c r="D39" s="33"/>
      <c r="E39" s="33"/>
    </row>
  </sheetData>
  <sheetProtection/>
  <mergeCells count="4">
    <mergeCell ref="B24:F24"/>
    <mergeCell ref="B1:C1"/>
    <mergeCell ref="D1:E1"/>
    <mergeCell ref="F1:G1"/>
  </mergeCells>
  <printOptions/>
  <pageMargins left="0.7480314960629921" right="0.7480314960629921" top="0.984251968503937" bottom="0.984251968503937" header="0.5118110236220472" footer="0.5118110236220472"/>
  <pageSetup firstPageNumber="71" useFirstPageNumber="1" horizontalDpi="600" verticalDpi="600" orientation="landscape" paperSize="9" r:id="rId1"/>
  <headerFooter alignWithMargins="0">
    <oddHeader>&amp;C&amp;"Times New Roman,Bold"&amp;12 7.1. ÞRÓUN SÉREIGNARSPARNAÐAR HJÁ LÍFEYRISSJÓÐUM OG ÖÐRUM VÖRSLUAÐILUM</oddHeader>
    <oddFooter>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9">
      <selection activeCell="C19" sqref="C19"/>
    </sheetView>
  </sheetViews>
  <sheetFormatPr defaultColWidth="9.140625" defaultRowHeight="12.75"/>
  <cols>
    <col min="1" max="1" width="3.28125" style="15" customWidth="1"/>
    <col min="2" max="2" width="3.00390625" style="15" customWidth="1"/>
    <col min="3" max="3" width="36.7109375" style="10" customWidth="1"/>
    <col min="4" max="4" width="4.8515625" style="145" customWidth="1"/>
    <col min="5" max="5" width="12.57421875" style="11" customWidth="1"/>
    <col min="6" max="6" width="3.28125" style="10" customWidth="1"/>
    <col min="7" max="7" width="12.28125" style="11" customWidth="1"/>
    <col min="8" max="8" width="3.57421875" style="10" customWidth="1"/>
    <col min="9" max="9" width="8.421875" style="10" customWidth="1"/>
    <col min="10" max="11" width="0" style="10" hidden="1" customWidth="1"/>
    <col min="12" max="12" width="3.7109375" style="10" customWidth="1"/>
    <col min="13" max="16384" width="9.140625" style="10" customWidth="1"/>
  </cols>
  <sheetData>
    <row r="1" spans="1:9" ht="21" customHeight="1">
      <c r="A1" s="126"/>
      <c r="B1" s="126"/>
      <c r="C1" s="127"/>
      <c r="D1" s="128"/>
      <c r="E1" s="129" t="s">
        <v>388</v>
      </c>
      <c r="F1" s="130"/>
      <c r="G1" s="129" t="s">
        <v>388</v>
      </c>
      <c r="H1" s="130"/>
      <c r="I1" s="131" t="s">
        <v>416</v>
      </c>
    </row>
    <row r="2" spans="1:9" ht="13.5" customHeight="1">
      <c r="A2" s="126"/>
      <c r="B2" s="126"/>
      <c r="C2" s="127"/>
      <c r="D2" s="126"/>
      <c r="E2" s="132" t="s">
        <v>549</v>
      </c>
      <c r="F2" s="130"/>
      <c r="G2" s="132" t="s">
        <v>393</v>
      </c>
      <c r="H2" s="130"/>
      <c r="I2" s="133" t="s">
        <v>550</v>
      </c>
    </row>
    <row r="3" spans="1:9" ht="13.5" customHeight="1">
      <c r="A3" s="126"/>
      <c r="B3" s="126"/>
      <c r="C3" s="127"/>
      <c r="D3" s="126"/>
      <c r="E3" s="134" t="s">
        <v>417</v>
      </c>
      <c r="F3" s="135"/>
      <c r="G3" s="134" t="s">
        <v>417</v>
      </c>
      <c r="H3" s="135"/>
      <c r="I3" s="135" t="s">
        <v>418</v>
      </c>
    </row>
    <row r="4" spans="1:9" ht="6" customHeight="1">
      <c r="A4" s="126"/>
      <c r="B4" s="126"/>
      <c r="C4" s="127"/>
      <c r="D4" s="126"/>
      <c r="E4" s="136"/>
      <c r="F4" s="137"/>
      <c r="G4" s="136"/>
      <c r="H4" s="127"/>
      <c r="I4" s="127"/>
    </row>
    <row r="5" spans="1:12" ht="13.5" customHeight="1">
      <c r="A5" s="126">
        <v>1</v>
      </c>
      <c r="B5" s="126"/>
      <c r="C5" s="1" t="s">
        <v>396</v>
      </c>
      <c r="D5" s="126" t="s">
        <v>566</v>
      </c>
      <c r="E5" s="124">
        <v>316841498</v>
      </c>
      <c r="F5" s="124"/>
      <c r="G5" s="124">
        <v>282259925</v>
      </c>
      <c r="H5" s="138"/>
      <c r="I5" s="125">
        <f>(E5/G5)-1</f>
        <v>0.12251676535377798</v>
      </c>
      <c r="L5" s="12"/>
    </row>
    <row r="6" spans="1:12" ht="13.5" customHeight="1">
      <c r="A6" s="126">
        <v>2</v>
      </c>
      <c r="B6" s="126"/>
      <c r="C6" s="1" t="s">
        <v>397</v>
      </c>
      <c r="D6" s="168" t="s">
        <v>419</v>
      </c>
      <c r="E6" s="124">
        <v>269069350</v>
      </c>
      <c r="F6" s="124"/>
      <c r="G6" s="124">
        <v>240348888</v>
      </c>
      <c r="H6" s="138"/>
      <c r="I6" s="125">
        <f aca="true" t="shared" si="0" ref="I6:I41">(E6/G6)-1</f>
        <v>0.11949488195676605</v>
      </c>
      <c r="L6" s="12"/>
    </row>
    <row r="7" spans="1:12" ht="13.5" customHeight="1">
      <c r="A7" s="126">
        <v>3</v>
      </c>
      <c r="B7" s="126"/>
      <c r="C7" s="1" t="s">
        <v>25</v>
      </c>
      <c r="D7" s="139"/>
      <c r="E7" s="124">
        <v>238231846</v>
      </c>
      <c r="F7" s="124"/>
      <c r="G7" s="124">
        <v>215411276</v>
      </c>
      <c r="H7" s="138"/>
      <c r="I7" s="125">
        <f t="shared" si="0"/>
        <v>0.10593953308182447</v>
      </c>
      <c r="L7" s="12"/>
    </row>
    <row r="8" spans="1:12" ht="13.5" customHeight="1">
      <c r="A8" s="126">
        <v>4</v>
      </c>
      <c r="B8" s="126"/>
      <c r="C8" s="1" t="s">
        <v>0</v>
      </c>
      <c r="D8" s="139"/>
      <c r="E8" s="124">
        <v>96572517</v>
      </c>
      <c r="F8" s="124"/>
      <c r="G8" s="124">
        <v>88373001</v>
      </c>
      <c r="H8" s="138"/>
      <c r="I8" s="125">
        <f t="shared" si="0"/>
        <v>0.09278304354516598</v>
      </c>
      <c r="L8" s="12"/>
    </row>
    <row r="9" spans="1:12" ht="13.5" customHeight="1">
      <c r="A9" s="126">
        <v>5</v>
      </c>
      <c r="B9" s="126"/>
      <c r="C9" s="1" t="s">
        <v>23</v>
      </c>
      <c r="D9" s="139"/>
      <c r="E9" s="124">
        <v>92661679</v>
      </c>
      <c r="F9" s="124"/>
      <c r="G9" s="124">
        <v>83242551</v>
      </c>
      <c r="H9" s="140"/>
      <c r="I9" s="125">
        <f t="shared" si="0"/>
        <v>0.11315280330608801</v>
      </c>
      <c r="L9" s="12"/>
    </row>
    <row r="10" spans="1:12" ht="13.5" customHeight="1">
      <c r="A10" s="126">
        <v>6</v>
      </c>
      <c r="B10" s="126"/>
      <c r="C10" s="1" t="s">
        <v>547</v>
      </c>
      <c r="D10" s="139" t="s">
        <v>420</v>
      </c>
      <c r="E10" s="124">
        <v>91989503</v>
      </c>
      <c r="F10" s="124"/>
      <c r="G10" s="169">
        <f>27458144+56431731</f>
        <v>83889875</v>
      </c>
      <c r="H10" s="138"/>
      <c r="I10" s="125">
        <f t="shared" si="0"/>
        <v>0.09655072200310233</v>
      </c>
      <c r="L10" s="12"/>
    </row>
    <row r="11" spans="1:12" ht="13.5" customHeight="1">
      <c r="A11" s="126">
        <v>7</v>
      </c>
      <c r="B11" s="126"/>
      <c r="C11" s="1" t="s">
        <v>31</v>
      </c>
      <c r="D11" s="139"/>
      <c r="E11" s="124">
        <v>82151541</v>
      </c>
      <c r="F11" s="124"/>
      <c r="G11" s="124">
        <v>74710215</v>
      </c>
      <c r="H11" s="138"/>
      <c r="I11" s="125">
        <f t="shared" si="0"/>
        <v>0.09960252423313198</v>
      </c>
      <c r="L11" s="12"/>
    </row>
    <row r="12" spans="1:12" ht="13.5" customHeight="1">
      <c r="A12" s="126">
        <v>8</v>
      </c>
      <c r="B12" s="126"/>
      <c r="C12" s="1" t="s">
        <v>246</v>
      </c>
      <c r="D12" s="139"/>
      <c r="E12" s="124">
        <v>66028104</v>
      </c>
      <c r="F12" s="124"/>
      <c r="G12" s="124">
        <v>59613928</v>
      </c>
      <c r="H12" s="138"/>
      <c r="I12" s="125">
        <f t="shared" si="0"/>
        <v>0.10759525861137686</v>
      </c>
      <c r="L12" s="12"/>
    </row>
    <row r="13" spans="1:12" ht="13.5" customHeight="1">
      <c r="A13" s="126">
        <v>9</v>
      </c>
      <c r="B13" s="126"/>
      <c r="C13" s="1" t="s">
        <v>548</v>
      </c>
      <c r="D13" s="139"/>
      <c r="E13" s="124">
        <v>56001481</v>
      </c>
      <c r="F13" s="124"/>
      <c r="G13" s="124">
        <v>50924638</v>
      </c>
      <c r="H13" s="138"/>
      <c r="I13" s="125">
        <f t="shared" si="0"/>
        <v>0.09969325653331107</v>
      </c>
      <c r="L13" s="12"/>
    </row>
    <row r="14" spans="1:12" ht="13.5" customHeight="1">
      <c r="A14" s="126">
        <v>10</v>
      </c>
      <c r="B14" s="126"/>
      <c r="C14" s="1" t="s">
        <v>24</v>
      </c>
      <c r="D14" s="139"/>
      <c r="E14" s="124">
        <v>55295393</v>
      </c>
      <c r="F14" s="124"/>
      <c r="G14" s="124">
        <v>48634303</v>
      </c>
      <c r="H14" s="138"/>
      <c r="I14" s="125">
        <f t="shared" si="0"/>
        <v>0.1369627935245623</v>
      </c>
      <c r="L14" s="12"/>
    </row>
    <row r="15" spans="1:12" ht="13.5" customHeight="1">
      <c r="A15" s="126">
        <v>11</v>
      </c>
      <c r="B15" s="126"/>
      <c r="C15" s="1" t="s">
        <v>544</v>
      </c>
      <c r="D15" s="126" t="s">
        <v>421</v>
      </c>
      <c r="E15" s="124">
        <v>40278978</v>
      </c>
      <c r="F15" s="124"/>
      <c r="G15" s="124">
        <v>13179379</v>
      </c>
      <c r="H15" s="138"/>
      <c r="I15" s="125">
        <f>(E15/G15)-1</f>
        <v>2.056212132605034</v>
      </c>
      <c r="L15" s="124" t="s">
        <v>236</v>
      </c>
    </row>
    <row r="16" spans="1:12" ht="13.5" customHeight="1">
      <c r="A16" s="126">
        <v>12</v>
      </c>
      <c r="B16" s="126"/>
      <c r="C16" s="1" t="s">
        <v>3</v>
      </c>
      <c r="D16" s="139"/>
      <c r="E16" s="124">
        <v>38058605</v>
      </c>
      <c r="F16" s="124"/>
      <c r="G16" s="124">
        <v>34819789</v>
      </c>
      <c r="H16" s="138"/>
      <c r="I16" s="125">
        <f t="shared" si="0"/>
        <v>0.0930165314901823</v>
      </c>
      <c r="L16" s="12"/>
    </row>
    <row r="17" spans="1:12" ht="13.5" customHeight="1">
      <c r="A17" s="126">
        <v>13</v>
      </c>
      <c r="B17" s="126"/>
      <c r="C17" s="1" t="s">
        <v>29</v>
      </c>
      <c r="D17" s="126"/>
      <c r="E17" s="124">
        <v>30682912</v>
      </c>
      <c r="F17" s="124"/>
      <c r="G17" s="124">
        <v>27218311</v>
      </c>
      <c r="H17" s="138"/>
      <c r="I17" s="125">
        <f t="shared" si="0"/>
        <v>0.1272893457643276</v>
      </c>
      <c r="L17" s="12"/>
    </row>
    <row r="18" spans="1:12" ht="13.5" customHeight="1">
      <c r="A18" s="126">
        <v>14</v>
      </c>
      <c r="B18" s="126"/>
      <c r="C18" s="1" t="s">
        <v>26</v>
      </c>
      <c r="D18" s="139"/>
      <c r="E18" s="124">
        <v>29745138</v>
      </c>
      <c r="F18" s="124"/>
      <c r="G18" s="124">
        <v>22430545</v>
      </c>
      <c r="H18" s="138"/>
      <c r="I18" s="125">
        <f t="shared" si="0"/>
        <v>0.3260996556258442</v>
      </c>
      <c r="L18" s="12"/>
    </row>
    <row r="19" spans="1:12" ht="13.5" customHeight="1">
      <c r="A19" s="126">
        <v>15</v>
      </c>
      <c r="B19" s="126"/>
      <c r="C19" s="1" t="s">
        <v>248</v>
      </c>
      <c r="D19" s="139" t="s">
        <v>567</v>
      </c>
      <c r="E19" s="124">
        <v>28408507</v>
      </c>
      <c r="F19" s="124"/>
      <c r="G19" s="124">
        <v>22869245</v>
      </c>
      <c r="H19" s="138"/>
      <c r="I19" s="125">
        <f t="shared" si="0"/>
        <v>0.24221446750865638</v>
      </c>
      <c r="L19" s="12"/>
    </row>
    <row r="20" spans="1:12" ht="13.5" customHeight="1">
      <c r="A20" s="126">
        <v>16</v>
      </c>
      <c r="B20" s="126"/>
      <c r="C20" s="1" t="s">
        <v>30</v>
      </c>
      <c r="D20" s="139"/>
      <c r="E20" s="124">
        <v>27623814</v>
      </c>
      <c r="F20" s="124"/>
      <c r="G20" s="124">
        <v>25968359</v>
      </c>
      <c r="H20" s="138"/>
      <c r="I20" s="125">
        <f t="shared" si="0"/>
        <v>0.06374892614508298</v>
      </c>
      <c r="L20" s="12"/>
    </row>
    <row r="21" spans="1:12" ht="13.5" customHeight="1">
      <c r="A21" s="126">
        <v>17</v>
      </c>
      <c r="B21" s="126"/>
      <c r="C21" s="1" t="s">
        <v>249</v>
      </c>
      <c r="D21" s="126"/>
      <c r="E21" s="124">
        <v>23372236</v>
      </c>
      <c r="F21" s="124"/>
      <c r="G21" s="124">
        <v>21605517</v>
      </c>
      <c r="H21" s="138"/>
      <c r="I21" s="125">
        <f t="shared" si="0"/>
        <v>0.08177166045135609</v>
      </c>
      <c r="L21" s="12"/>
    </row>
    <row r="22" spans="1:12" ht="13.5" customHeight="1">
      <c r="A22" s="126">
        <v>18</v>
      </c>
      <c r="B22" s="126"/>
      <c r="C22" s="1" t="s">
        <v>398</v>
      </c>
      <c r="D22" s="126" t="s">
        <v>421</v>
      </c>
      <c r="E22" s="124">
        <v>23132282</v>
      </c>
      <c r="F22" s="124"/>
      <c r="G22" s="124">
        <v>22147806</v>
      </c>
      <c r="H22" s="138"/>
      <c r="I22" s="125">
        <f t="shared" si="0"/>
        <v>0.04445027195921791</v>
      </c>
      <c r="L22" s="12"/>
    </row>
    <row r="23" spans="1:12" ht="13.5" customHeight="1">
      <c r="A23" s="126">
        <v>19</v>
      </c>
      <c r="B23" s="126"/>
      <c r="C23" s="1" t="s">
        <v>27</v>
      </c>
      <c r="D23" s="139"/>
      <c r="E23" s="124">
        <v>21603252</v>
      </c>
      <c r="F23" s="124"/>
      <c r="G23" s="124">
        <v>20905368</v>
      </c>
      <c r="H23" s="138"/>
      <c r="I23" s="125">
        <f t="shared" si="0"/>
        <v>0.0333830047861392</v>
      </c>
      <c r="L23" s="12"/>
    </row>
    <row r="24" spans="1:12" ht="13.5" customHeight="1">
      <c r="A24" s="126">
        <v>20</v>
      </c>
      <c r="B24" s="126"/>
      <c r="C24" s="1" t="s">
        <v>534</v>
      </c>
      <c r="D24" s="139"/>
      <c r="E24" s="124">
        <v>15607557</v>
      </c>
      <c r="F24" s="124"/>
      <c r="G24" s="124">
        <v>14087989</v>
      </c>
      <c r="H24" s="138"/>
      <c r="I24" s="125">
        <f t="shared" si="0"/>
        <v>0.1078626623004888</v>
      </c>
      <c r="L24" s="12"/>
    </row>
    <row r="25" spans="1:12" ht="13.5" customHeight="1">
      <c r="A25" s="126">
        <v>21</v>
      </c>
      <c r="B25" s="126"/>
      <c r="C25" s="1" t="s">
        <v>552</v>
      </c>
      <c r="D25" s="126"/>
      <c r="E25" s="124">
        <v>12954380</v>
      </c>
      <c r="F25" s="124"/>
      <c r="G25" s="124">
        <v>11865756</v>
      </c>
      <c r="H25" s="138"/>
      <c r="I25" s="125">
        <f t="shared" si="0"/>
        <v>0.09174501818510339</v>
      </c>
      <c r="L25" s="12"/>
    </row>
    <row r="26" spans="1:12" ht="13.5" customHeight="1">
      <c r="A26" s="126">
        <v>22</v>
      </c>
      <c r="B26" s="126"/>
      <c r="C26" s="1" t="s">
        <v>539</v>
      </c>
      <c r="D26" s="139" t="s">
        <v>568</v>
      </c>
      <c r="E26" s="124">
        <v>10123620</v>
      </c>
      <c r="F26" s="124"/>
      <c r="G26" s="124">
        <f>1766300+777183+2886162+537615+3630804</f>
        <v>9598064</v>
      </c>
      <c r="H26" s="138"/>
      <c r="I26" s="125">
        <f t="shared" si="0"/>
        <v>0.054756459219275966</v>
      </c>
      <c r="L26" s="12"/>
    </row>
    <row r="27" spans="1:12" ht="13.5" customHeight="1">
      <c r="A27" s="126">
        <v>23</v>
      </c>
      <c r="B27" s="126"/>
      <c r="C27" s="1" t="s">
        <v>537</v>
      </c>
      <c r="D27" s="126" t="s">
        <v>422</v>
      </c>
      <c r="E27" s="124">
        <v>7222999</v>
      </c>
      <c r="F27" s="124"/>
      <c r="G27" s="124">
        <v>7064000</v>
      </c>
      <c r="H27" s="138"/>
      <c r="I27" s="125">
        <f t="shared" si="0"/>
        <v>0.022508352208380433</v>
      </c>
      <c r="L27" s="12"/>
    </row>
    <row r="28" spans="1:12" ht="13.5" customHeight="1">
      <c r="A28" s="126">
        <v>24</v>
      </c>
      <c r="B28" s="126"/>
      <c r="C28" s="1" t="s">
        <v>540</v>
      </c>
      <c r="D28" s="126" t="s">
        <v>421</v>
      </c>
      <c r="E28" s="124">
        <v>5921817</v>
      </c>
      <c r="F28" s="124"/>
      <c r="G28" s="124">
        <v>2378238</v>
      </c>
      <c r="H28" s="138"/>
      <c r="I28" s="125">
        <f t="shared" si="0"/>
        <v>1.4900018416996113</v>
      </c>
      <c r="L28" s="124" t="s">
        <v>520</v>
      </c>
    </row>
    <row r="29" spans="1:12" ht="13.5" customHeight="1">
      <c r="A29" s="126">
        <v>25</v>
      </c>
      <c r="B29" s="126"/>
      <c r="C29" s="1" t="s">
        <v>28</v>
      </c>
      <c r="D29" s="126"/>
      <c r="E29" s="124">
        <v>4276550</v>
      </c>
      <c r="F29" s="124"/>
      <c r="G29" s="124">
        <v>3882037</v>
      </c>
      <c r="H29" s="138"/>
      <c r="I29" s="125">
        <f>(E29/G29)-1</f>
        <v>0.10162525498855368</v>
      </c>
      <c r="L29" s="12"/>
    </row>
    <row r="30" spans="1:12" ht="13.5" customHeight="1">
      <c r="A30" s="126">
        <v>26</v>
      </c>
      <c r="B30" s="126"/>
      <c r="C30" s="1" t="s">
        <v>546</v>
      </c>
      <c r="D30" s="139"/>
      <c r="E30" s="124">
        <v>2788767</v>
      </c>
      <c r="F30" s="124"/>
      <c r="G30" s="124">
        <v>2542032</v>
      </c>
      <c r="H30" s="138"/>
      <c r="I30" s="125">
        <f t="shared" si="0"/>
        <v>0.09706211408825705</v>
      </c>
      <c r="L30" s="12"/>
    </row>
    <row r="31" spans="1:12" ht="13.5" customHeight="1">
      <c r="A31" s="126">
        <v>27</v>
      </c>
      <c r="B31" s="126"/>
      <c r="C31" s="1" t="s">
        <v>543</v>
      </c>
      <c r="D31" s="126" t="s">
        <v>421</v>
      </c>
      <c r="E31" s="124">
        <v>2505080</v>
      </c>
      <c r="F31" s="124"/>
      <c r="G31" s="124">
        <v>2392116</v>
      </c>
      <c r="H31" s="138"/>
      <c r="I31" s="125">
        <f t="shared" si="0"/>
        <v>0.04722346240734154</v>
      </c>
      <c r="L31" s="12"/>
    </row>
    <row r="32" spans="1:12" ht="13.5" customHeight="1">
      <c r="A32" s="126">
        <v>28</v>
      </c>
      <c r="B32" s="126"/>
      <c r="C32" s="1" t="s">
        <v>553</v>
      </c>
      <c r="D32" s="126" t="s">
        <v>421</v>
      </c>
      <c r="E32" s="124">
        <v>2261717</v>
      </c>
      <c r="F32" s="124"/>
      <c r="G32" s="124">
        <v>2186980</v>
      </c>
      <c r="H32" s="138"/>
      <c r="I32" s="125">
        <f t="shared" si="0"/>
        <v>0.03417360926940338</v>
      </c>
      <c r="L32" s="12"/>
    </row>
    <row r="33" spans="1:12" ht="13.5" customHeight="1">
      <c r="A33" s="126">
        <v>29</v>
      </c>
      <c r="B33" s="126"/>
      <c r="C33" s="1" t="s">
        <v>535</v>
      </c>
      <c r="D33" s="126" t="s">
        <v>421</v>
      </c>
      <c r="E33" s="124">
        <v>2235587</v>
      </c>
      <c r="F33" s="124"/>
      <c r="G33" s="124">
        <v>800865</v>
      </c>
      <c r="H33" s="138"/>
      <c r="I33" s="125">
        <f t="shared" si="0"/>
        <v>1.7914654779519643</v>
      </c>
      <c r="L33" s="124" t="s">
        <v>616</v>
      </c>
    </row>
    <row r="34" spans="1:12" ht="13.5" customHeight="1">
      <c r="A34" s="126">
        <v>30</v>
      </c>
      <c r="B34" s="126"/>
      <c r="C34" s="1" t="s">
        <v>399</v>
      </c>
      <c r="D34" s="126" t="s">
        <v>421</v>
      </c>
      <c r="E34" s="124">
        <v>1146206</v>
      </c>
      <c r="F34" s="124"/>
      <c r="G34" s="124">
        <v>1124824</v>
      </c>
      <c r="H34" s="138"/>
      <c r="I34" s="125">
        <f t="shared" si="0"/>
        <v>0.019009196105346238</v>
      </c>
      <c r="L34" s="12"/>
    </row>
    <row r="35" spans="1:12" ht="13.5" customHeight="1">
      <c r="A35" s="126">
        <v>31</v>
      </c>
      <c r="B35" s="126"/>
      <c r="C35" s="1" t="s">
        <v>536</v>
      </c>
      <c r="D35" s="126" t="s">
        <v>423</v>
      </c>
      <c r="E35" s="124">
        <v>761710</v>
      </c>
      <c r="F35" s="124"/>
      <c r="G35" s="124">
        <v>693277</v>
      </c>
      <c r="H35" s="138"/>
      <c r="I35" s="125">
        <f t="shared" si="0"/>
        <v>0.09870946245151657</v>
      </c>
      <c r="L35" s="12"/>
    </row>
    <row r="36" spans="1:12" ht="13.5" customHeight="1">
      <c r="A36" s="126">
        <v>32</v>
      </c>
      <c r="B36" s="126"/>
      <c r="C36" s="1" t="s">
        <v>555</v>
      </c>
      <c r="D36" s="126" t="s">
        <v>421</v>
      </c>
      <c r="E36" s="124">
        <v>481478</v>
      </c>
      <c r="F36" s="124"/>
      <c r="G36" s="124">
        <v>451429</v>
      </c>
      <c r="H36" s="138"/>
      <c r="I36" s="125">
        <f t="shared" si="0"/>
        <v>0.06656417731248987</v>
      </c>
      <c r="L36" s="12"/>
    </row>
    <row r="37" spans="1:12" ht="13.5" customHeight="1">
      <c r="A37" s="126">
        <v>33</v>
      </c>
      <c r="B37" s="126"/>
      <c r="C37" s="1" t="s">
        <v>400</v>
      </c>
      <c r="D37" s="126" t="s">
        <v>423</v>
      </c>
      <c r="E37" s="124">
        <v>472544</v>
      </c>
      <c r="F37" s="124"/>
      <c r="G37" s="124">
        <v>470205</v>
      </c>
      <c r="H37" s="138"/>
      <c r="I37" s="125">
        <f t="shared" si="0"/>
        <v>0.004974426048212965</v>
      </c>
      <c r="L37" s="12"/>
    </row>
    <row r="38" spans="1:12" ht="13.5" customHeight="1">
      <c r="A38" s="126">
        <v>34</v>
      </c>
      <c r="B38" s="126"/>
      <c r="C38" s="1" t="s">
        <v>401</v>
      </c>
      <c r="D38" s="126" t="s">
        <v>421</v>
      </c>
      <c r="E38" s="124">
        <v>449568</v>
      </c>
      <c r="F38" s="124"/>
      <c r="G38" s="124">
        <v>443865</v>
      </c>
      <c r="H38" s="138"/>
      <c r="I38" s="125">
        <f t="shared" si="0"/>
        <v>0.012848501233483134</v>
      </c>
      <c r="L38" s="12"/>
    </row>
    <row r="39" spans="1:12" ht="13.5" customHeight="1">
      <c r="A39" s="126">
        <v>35</v>
      </c>
      <c r="B39" s="126"/>
      <c r="C39" s="1" t="s">
        <v>578</v>
      </c>
      <c r="D39" s="126" t="s">
        <v>422</v>
      </c>
      <c r="E39" s="124">
        <v>172493</v>
      </c>
      <c r="F39" s="124"/>
      <c r="G39" s="124">
        <v>183340</v>
      </c>
      <c r="H39" s="138"/>
      <c r="I39" s="125">
        <f t="shared" si="0"/>
        <v>-0.059163303152612645</v>
      </c>
      <c r="L39" s="12"/>
    </row>
    <row r="40" spans="1:12" ht="13.5" customHeight="1">
      <c r="A40" s="126">
        <v>36</v>
      </c>
      <c r="B40" s="126"/>
      <c r="C40" s="1" t="s">
        <v>554</v>
      </c>
      <c r="D40" s="126" t="s">
        <v>421</v>
      </c>
      <c r="E40" s="124">
        <v>71180</v>
      </c>
      <c r="F40" s="124"/>
      <c r="G40" s="124">
        <v>64523</v>
      </c>
      <c r="H40" s="138"/>
      <c r="I40" s="125">
        <f t="shared" si="0"/>
        <v>0.10317251212745848</v>
      </c>
      <c r="L40" s="12"/>
    </row>
    <row r="41" spans="1:12" ht="13.5" customHeight="1">
      <c r="A41" s="126">
        <v>37</v>
      </c>
      <c r="B41" s="126"/>
      <c r="C41" s="1" t="s">
        <v>605</v>
      </c>
      <c r="D41" s="126" t="s">
        <v>422</v>
      </c>
      <c r="E41" s="124">
        <v>5688</v>
      </c>
      <c r="F41" s="124"/>
      <c r="G41" s="124">
        <v>27471</v>
      </c>
      <c r="H41" s="138"/>
      <c r="I41" s="125">
        <f t="shared" si="0"/>
        <v>-0.7929452877579993</v>
      </c>
      <c r="L41" s="12"/>
    </row>
    <row r="42" spans="1:12" ht="15.75" customHeight="1" thickBot="1">
      <c r="A42" s="137"/>
      <c r="B42" s="126"/>
      <c r="C42" s="141" t="s">
        <v>424</v>
      </c>
      <c r="D42" s="139"/>
      <c r="E42" s="142">
        <f>SUM(E5:E41)</f>
        <v>1697207577</v>
      </c>
      <c r="F42" s="136"/>
      <c r="G42" s="142">
        <f>SUM(G5:G41)</f>
        <v>1498809930</v>
      </c>
      <c r="H42" s="385"/>
      <c r="I42" s="144">
        <f>(E42/G42)-1</f>
        <v>0.1323701178040635</v>
      </c>
      <c r="L42" s="12"/>
    </row>
    <row r="43" spans="1:12" ht="15.75" customHeight="1" thickTop="1">
      <c r="A43" s="10"/>
      <c r="B43" s="7"/>
      <c r="C43" s="16"/>
      <c r="F43" s="11"/>
      <c r="H43" s="13"/>
      <c r="I43" s="14"/>
      <c r="L43" s="17"/>
    </row>
    <row r="44" spans="1:12" ht="15.75" customHeight="1">
      <c r="A44" s="10"/>
      <c r="B44" s="7"/>
      <c r="C44" s="16"/>
      <c r="F44" s="11"/>
      <c r="H44" s="13"/>
      <c r="I44" s="14"/>
      <c r="L44" s="17"/>
    </row>
    <row r="45" spans="1:12" ht="15.75" customHeight="1">
      <c r="A45" s="10"/>
      <c r="B45" s="7"/>
      <c r="C45" s="16"/>
      <c r="F45" s="11"/>
      <c r="H45" s="13"/>
      <c r="I45" s="14"/>
      <c r="L45" s="17"/>
    </row>
    <row r="46" spans="1:12" ht="15.75" customHeight="1">
      <c r="A46" s="151" t="s">
        <v>607</v>
      </c>
      <c r="B46" s="7"/>
      <c r="C46" s="16"/>
      <c r="F46" s="11"/>
      <c r="H46" s="13"/>
      <c r="I46" s="14"/>
      <c r="L46" s="17"/>
    </row>
    <row r="47" spans="1:12" ht="15.75" customHeight="1">
      <c r="A47" s="166" t="s">
        <v>618</v>
      </c>
      <c r="B47" s="7"/>
      <c r="C47" s="16"/>
      <c r="F47" s="11"/>
      <c r="H47" s="13"/>
      <c r="I47" s="14"/>
      <c r="L47" s="17"/>
    </row>
    <row r="48" spans="1:12" ht="15.75" customHeight="1">
      <c r="A48" s="151" t="s">
        <v>617</v>
      </c>
      <c r="B48" s="126"/>
      <c r="C48" s="141"/>
      <c r="E48" s="146"/>
      <c r="F48" s="136"/>
      <c r="G48" s="136"/>
      <c r="H48" s="138"/>
      <c r="I48" s="147"/>
      <c r="L48" s="17"/>
    </row>
    <row r="49" spans="1:12" ht="12.75" customHeight="1">
      <c r="A49" s="148"/>
      <c r="B49" s="148"/>
      <c r="C49" s="149"/>
      <c r="E49" s="136"/>
      <c r="F49" s="137"/>
      <c r="G49" s="136"/>
      <c r="H49" s="137"/>
      <c r="I49" s="137"/>
      <c r="L49" s="17"/>
    </row>
    <row r="50" spans="1:12" ht="12.75">
      <c r="A50" s="150" t="s">
        <v>425</v>
      </c>
      <c r="B50" s="139"/>
      <c r="C50" s="137"/>
      <c r="E50" s="136"/>
      <c r="F50" s="137"/>
      <c r="G50" s="136"/>
      <c r="H50" s="137"/>
      <c r="I50" s="137"/>
      <c r="L50" s="17"/>
    </row>
    <row r="51" spans="1:12" ht="12.75" customHeight="1">
      <c r="A51" s="151" t="s">
        <v>426</v>
      </c>
      <c r="B51" s="139"/>
      <c r="C51" s="137"/>
      <c r="E51" s="136"/>
      <c r="F51" s="137"/>
      <c r="G51" s="136"/>
      <c r="H51" s="137"/>
      <c r="I51" s="152"/>
      <c r="L51" s="18"/>
    </row>
    <row r="52" spans="1:9" ht="12.75" customHeight="1">
      <c r="A52" s="151" t="s">
        <v>551</v>
      </c>
      <c r="B52" s="139"/>
      <c r="C52" s="137"/>
      <c r="E52" s="136"/>
      <c r="F52" s="137"/>
      <c r="G52" s="136"/>
      <c r="H52" s="137"/>
      <c r="I52" s="152"/>
    </row>
    <row r="53" spans="1:9" ht="12.75">
      <c r="A53" s="151" t="s">
        <v>565</v>
      </c>
      <c r="B53" s="139"/>
      <c r="C53" s="137"/>
      <c r="E53" s="136"/>
      <c r="F53" s="137"/>
      <c r="G53" s="136"/>
      <c r="H53" s="137"/>
      <c r="I53" s="13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6" r:id="rId1"/>
  <headerFooter>
    <oddHeader>&amp;C&amp;"Times New Roman,Bold"&amp;11 2.2. YFIRLIT YFIR LÍFEYRISSJÓÐI Í STÆRÐARRÖÐ 31.12.2007</oddHeader>
    <oddFooter>&amp;R&amp;"Times New Roman,Regular"7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40">
      <selection activeCell="J55" sqref="A1:J55"/>
    </sheetView>
  </sheetViews>
  <sheetFormatPr defaultColWidth="9.140625" defaultRowHeight="12.75"/>
  <cols>
    <col min="1" max="1" width="3.28125" style="156" customWidth="1"/>
    <col min="2" max="2" width="0.9921875" style="156" customWidth="1"/>
    <col min="3" max="3" width="26.28125" style="156" bestFit="1" customWidth="1"/>
    <col min="4" max="4" width="12.28125" style="156" customWidth="1"/>
    <col min="5" max="6" width="11.140625" style="156" bestFit="1" customWidth="1"/>
    <col min="7" max="7" width="10.8515625" style="156" bestFit="1" customWidth="1"/>
    <col min="8" max="8" width="11.140625" style="156" bestFit="1" customWidth="1"/>
    <col min="9" max="9" width="0.85546875" style="156" customWidth="1"/>
    <col min="10" max="10" width="10.8515625" style="156" bestFit="1" customWidth="1"/>
    <col min="11" max="16384" width="9.140625" style="156" customWidth="1"/>
  </cols>
  <sheetData>
    <row r="1" spans="1:10" ht="27.75" customHeight="1">
      <c r="A1" s="153"/>
      <c r="B1" s="153"/>
      <c r="C1" s="153"/>
      <c r="D1" s="153"/>
      <c r="E1" s="475" t="s">
        <v>386</v>
      </c>
      <c r="F1" s="475"/>
      <c r="G1" s="475"/>
      <c r="H1" s="475"/>
      <c r="I1" s="155"/>
      <c r="J1" s="154" t="s">
        <v>387</v>
      </c>
    </row>
    <row r="2" spans="1:10" ht="12" customHeight="1">
      <c r="A2" s="126"/>
      <c r="B2" s="126"/>
      <c r="C2" s="127"/>
      <c r="D2" s="157" t="s">
        <v>388</v>
      </c>
      <c r="E2" s="158" t="s">
        <v>389</v>
      </c>
      <c r="F2" s="158" t="s">
        <v>390</v>
      </c>
      <c r="G2" s="158" t="s">
        <v>391</v>
      </c>
      <c r="H2" s="159" t="s">
        <v>392</v>
      </c>
      <c r="I2" s="159"/>
      <c r="J2" s="153"/>
    </row>
    <row r="3" spans="1:10" ht="12.75">
      <c r="A3" s="126"/>
      <c r="B3" s="126"/>
      <c r="C3" s="127" t="s">
        <v>8</v>
      </c>
      <c r="D3" s="160" t="s">
        <v>549</v>
      </c>
      <c r="E3" s="161"/>
      <c r="F3" s="158" t="s">
        <v>394</v>
      </c>
      <c r="G3" s="158" t="s">
        <v>394</v>
      </c>
      <c r="H3" s="159" t="s">
        <v>395</v>
      </c>
      <c r="I3" s="159"/>
      <c r="J3" s="161"/>
    </row>
    <row r="4" spans="1:10" ht="5.25" customHeight="1">
      <c r="A4" s="126"/>
      <c r="B4" s="126"/>
      <c r="C4" s="127"/>
      <c r="D4" s="136"/>
      <c r="E4" s="136"/>
      <c r="F4" s="136"/>
      <c r="G4" s="136"/>
      <c r="H4" s="136"/>
      <c r="I4" s="136"/>
      <c r="J4" s="136"/>
    </row>
    <row r="5" spans="1:10" ht="14.25" customHeight="1">
      <c r="A5" s="126">
        <v>1</v>
      </c>
      <c r="B5" s="126"/>
      <c r="C5" s="1" t="s">
        <v>409</v>
      </c>
      <c r="D5" s="124">
        <f>SUM(E5:J5)</f>
        <v>316841498</v>
      </c>
      <c r="E5" s="124">
        <v>107247847</v>
      </c>
      <c r="F5" s="124">
        <v>203013352</v>
      </c>
      <c r="G5" s="124"/>
      <c r="H5" s="124"/>
      <c r="I5" s="138"/>
      <c r="J5" s="124">
        <v>6580299</v>
      </c>
    </row>
    <row r="6" spans="1:10" ht="14.25" customHeight="1">
      <c r="A6" s="126">
        <v>2</v>
      </c>
      <c r="B6" s="126"/>
      <c r="C6" s="1" t="s">
        <v>397</v>
      </c>
      <c r="D6" s="124">
        <f aca="true" t="shared" si="0" ref="D6:D41">SUM(E6:J6)</f>
        <v>269069350</v>
      </c>
      <c r="E6" s="124"/>
      <c r="F6" s="124"/>
      <c r="G6" s="124"/>
      <c r="H6" s="124">
        <v>262609402</v>
      </c>
      <c r="I6" s="138"/>
      <c r="J6" s="124">
        <v>6459948</v>
      </c>
    </row>
    <row r="7" spans="1:10" ht="14.25" customHeight="1">
      <c r="A7" s="126">
        <v>3</v>
      </c>
      <c r="B7" s="126"/>
      <c r="C7" s="1" t="s">
        <v>25</v>
      </c>
      <c r="D7" s="124">
        <f t="shared" si="0"/>
        <v>238231846</v>
      </c>
      <c r="E7" s="124"/>
      <c r="F7" s="124"/>
      <c r="G7" s="124"/>
      <c r="H7" s="124">
        <v>235991776</v>
      </c>
      <c r="I7" s="138"/>
      <c r="J7" s="124">
        <v>2240070</v>
      </c>
    </row>
    <row r="8" spans="1:10" ht="14.25" customHeight="1">
      <c r="A8" s="126">
        <v>4</v>
      </c>
      <c r="B8" s="126"/>
      <c r="C8" s="1" t="s">
        <v>0</v>
      </c>
      <c r="D8" s="124">
        <f>SUM(E8:J8)</f>
        <v>96572517</v>
      </c>
      <c r="E8" s="124">
        <v>83339877</v>
      </c>
      <c r="F8" s="124"/>
      <c r="G8" s="124">
        <v>10010866</v>
      </c>
      <c r="H8" s="124"/>
      <c r="I8" s="138"/>
      <c r="J8" s="124">
        <v>3221774</v>
      </c>
    </row>
    <row r="9" spans="1:10" ht="14.25" customHeight="1">
      <c r="A9" s="126">
        <v>5</v>
      </c>
      <c r="B9" s="126"/>
      <c r="C9" s="1" t="s">
        <v>23</v>
      </c>
      <c r="D9" s="124">
        <f t="shared" si="0"/>
        <v>92661679</v>
      </c>
      <c r="E9" s="124"/>
      <c r="F9" s="124"/>
      <c r="G9" s="124">
        <v>39888980</v>
      </c>
      <c r="H9" s="124"/>
      <c r="I9" s="138"/>
      <c r="J9" s="124">
        <v>52772699</v>
      </c>
    </row>
    <row r="10" spans="1:10" ht="14.25" customHeight="1">
      <c r="A10" s="126">
        <v>6</v>
      </c>
      <c r="B10" s="126"/>
      <c r="C10" s="1" t="s">
        <v>547</v>
      </c>
      <c r="D10" s="124">
        <f t="shared" si="0"/>
        <v>91989503</v>
      </c>
      <c r="E10" s="124"/>
      <c r="F10" s="124"/>
      <c r="G10" s="124"/>
      <c r="H10" s="124">
        <v>89383915</v>
      </c>
      <c r="I10" s="138"/>
      <c r="J10" s="124">
        <v>2605588</v>
      </c>
    </row>
    <row r="11" spans="1:10" ht="14.25" customHeight="1">
      <c r="A11" s="126">
        <v>7</v>
      </c>
      <c r="B11" s="126"/>
      <c r="C11" s="1" t="s">
        <v>31</v>
      </c>
      <c r="D11" s="124">
        <f t="shared" si="0"/>
        <v>82151541</v>
      </c>
      <c r="E11" s="124"/>
      <c r="F11" s="124"/>
      <c r="G11" s="124">
        <v>78664225</v>
      </c>
      <c r="H11" s="124"/>
      <c r="I11" s="138"/>
      <c r="J11" s="124">
        <v>3487316</v>
      </c>
    </row>
    <row r="12" spans="1:10" ht="14.25" customHeight="1">
      <c r="A12" s="126">
        <v>8</v>
      </c>
      <c r="B12" s="126"/>
      <c r="C12" s="1" t="s">
        <v>246</v>
      </c>
      <c r="D12" s="124">
        <f t="shared" si="0"/>
        <v>66028104</v>
      </c>
      <c r="E12" s="124"/>
      <c r="F12" s="124"/>
      <c r="G12" s="124">
        <v>12640710</v>
      </c>
      <c r="H12" s="124"/>
      <c r="I12" s="138"/>
      <c r="J12" s="124">
        <v>53387394</v>
      </c>
    </row>
    <row r="13" spans="1:10" ht="14.25" customHeight="1">
      <c r="A13" s="126">
        <v>9</v>
      </c>
      <c r="B13" s="126"/>
      <c r="C13" s="1" t="s">
        <v>548</v>
      </c>
      <c r="D13" s="124">
        <f t="shared" si="0"/>
        <v>56001481</v>
      </c>
      <c r="E13" s="124"/>
      <c r="F13" s="124"/>
      <c r="G13" s="124"/>
      <c r="H13" s="124">
        <v>55617100</v>
      </c>
      <c r="I13" s="138"/>
      <c r="J13" s="124">
        <v>384381</v>
      </c>
    </row>
    <row r="14" spans="1:10" ht="14.25" customHeight="1">
      <c r="A14" s="126">
        <v>10</v>
      </c>
      <c r="B14" s="126"/>
      <c r="C14" s="1" t="s">
        <v>24</v>
      </c>
      <c r="D14" s="124">
        <f t="shared" si="0"/>
        <v>55295393</v>
      </c>
      <c r="E14" s="124"/>
      <c r="F14" s="124"/>
      <c r="G14" s="124"/>
      <c r="H14" s="124">
        <v>55164759</v>
      </c>
      <c r="I14" s="138"/>
      <c r="J14" s="124">
        <v>130634</v>
      </c>
    </row>
    <row r="15" spans="1:10" ht="14.25" customHeight="1">
      <c r="A15" s="126">
        <v>11</v>
      </c>
      <c r="B15" s="126"/>
      <c r="C15" s="1" t="s">
        <v>564</v>
      </c>
      <c r="D15" s="124">
        <f t="shared" si="0"/>
        <v>40278978</v>
      </c>
      <c r="E15" s="124"/>
      <c r="F15" s="124">
        <v>40278978</v>
      </c>
      <c r="G15" s="124"/>
      <c r="H15" s="124"/>
      <c r="I15" s="138"/>
      <c r="J15" s="124"/>
    </row>
    <row r="16" spans="1:10" ht="14.25" customHeight="1">
      <c r="A16" s="126">
        <v>12</v>
      </c>
      <c r="B16" s="126"/>
      <c r="C16" s="1" t="s">
        <v>3</v>
      </c>
      <c r="D16" s="124">
        <f t="shared" si="0"/>
        <v>38058605</v>
      </c>
      <c r="E16" s="124">
        <v>12090305</v>
      </c>
      <c r="F16" s="124">
        <v>25968300</v>
      </c>
      <c r="G16" s="124"/>
      <c r="H16" s="124"/>
      <c r="I16" s="138"/>
      <c r="J16" s="124"/>
    </row>
    <row r="17" spans="1:10" ht="14.25" customHeight="1">
      <c r="A17" s="126">
        <v>13</v>
      </c>
      <c r="B17" s="126"/>
      <c r="C17" s="1" t="s">
        <v>29</v>
      </c>
      <c r="D17" s="124">
        <f t="shared" si="0"/>
        <v>30682912</v>
      </c>
      <c r="E17" s="124"/>
      <c r="F17" s="124"/>
      <c r="G17" s="124">
        <v>28633812</v>
      </c>
      <c r="H17" s="124"/>
      <c r="I17" s="138"/>
      <c r="J17" s="124">
        <v>2049100</v>
      </c>
    </row>
    <row r="18" spans="1:10" ht="14.25" customHeight="1">
      <c r="A18" s="126">
        <v>14</v>
      </c>
      <c r="B18" s="126"/>
      <c r="C18" s="1" t="s">
        <v>26</v>
      </c>
      <c r="D18" s="124">
        <f t="shared" si="0"/>
        <v>29745138</v>
      </c>
      <c r="E18" s="124"/>
      <c r="F18" s="124"/>
      <c r="G18" s="124">
        <v>2421865</v>
      </c>
      <c r="H18" s="124"/>
      <c r="I18" s="138"/>
      <c r="J18" s="124">
        <v>27323273</v>
      </c>
    </row>
    <row r="19" spans="1:10" ht="14.25" customHeight="1">
      <c r="A19" s="126">
        <v>15</v>
      </c>
      <c r="B19" s="126"/>
      <c r="C19" s="1" t="s">
        <v>228</v>
      </c>
      <c r="D19" s="124">
        <f t="shared" si="0"/>
        <v>28408507</v>
      </c>
      <c r="E19" s="124">
        <v>24908748</v>
      </c>
      <c r="F19" s="124"/>
      <c r="G19" s="124">
        <v>2665329</v>
      </c>
      <c r="H19" s="124"/>
      <c r="I19" s="138"/>
      <c r="J19" s="124">
        <v>834430</v>
      </c>
    </row>
    <row r="20" spans="1:10" ht="14.25" customHeight="1">
      <c r="A20" s="126">
        <v>16</v>
      </c>
      <c r="B20" s="126"/>
      <c r="C20" s="1" t="s">
        <v>30</v>
      </c>
      <c r="D20" s="124">
        <f t="shared" si="0"/>
        <v>27623814</v>
      </c>
      <c r="E20" s="124"/>
      <c r="F20" s="124"/>
      <c r="G20" s="124"/>
      <c r="H20" s="124">
        <v>27258890</v>
      </c>
      <c r="I20" s="138"/>
      <c r="J20" s="124">
        <v>364924</v>
      </c>
    </row>
    <row r="21" spans="1:10" ht="14.25" customHeight="1">
      <c r="A21" s="126">
        <v>17</v>
      </c>
      <c r="B21" s="126"/>
      <c r="C21" s="1" t="s">
        <v>249</v>
      </c>
      <c r="D21" s="124">
        <f t="shared" si="0"/>
        <v>23372236</v>
      </c>
      <c r="E21" s="124"/>
      <c r="F21" s="124"/>
      <c r="G21" s="124"/>
      <c r="H21" s="124">
        <v>23192729</v>
      </c>
      <c r="I21" s="138"/>
      <c r="J21" s="124">
        <v>179507</v>
      </c>
    </row>
    <row r="22" spans="1:10" ht="14.25" customHeight="1">
      <c r="A22" s="126">
        <v>18</v>
      </c>
      <c r="B22" s="126"/>
      <c r="C22" s="1" t="s">
        <v>563</v>
      </c>
      <c r="D22" s="124">
        <f t="shared" si="0"/>
        <v>23132282</v>
      </c>
      <c r="E22" s="124"/>
      <c r="F22" s="124">
        <v>23132282</v>
      </c>
      <c r="G22" s="124"/>
      <c r="H22" s="124"/>
      <c r="I22" s="138"/>
      <c r="J22" s="124"/>
    </row>
    <row r="23" spans="1:10" ht="14.25" customHeight="1">
      <c r="A23" s="126">
        <v>19</v>
      </c>
      <c r="B23" s="126"/>
      <c r="C23" s="1" t="s">
        <v>27</v>
      </c>
      <c r="D23" s="124">
        <f t="shared" si="0"/>
        <v>21603252</v>
      </c>
      <c r="E23" s="124"/>
      <c r="F23" s="124"/>
      <c r="G23" s="124"/>
      <c r="H23" s="124">
        <v>21603252</v>
      </c>
      <c r="I23" s="138"/>
      <c r="J23" s="124"/>
    </row>
    <row r="24" spans="1:10" ht="14.25" customHeight="1">
      <c r="A24" s="126">
        <v>20</v>
      </c>
      <c r="B24" s="126"/>
      <c r="C24" s="1" t="s">
        <v>534</v>
      </c>
      <c r="D24" s="124">
        <f t="shared" si="0"/>
        <v>15607557</v>
      </c>
      <c r="E24" s="124">
        <v>15607557</v>
      </c>
      <c r="F24" s="124"/>
      <c r="G24" s="124"/>
      <c r="H24" s="124"/>
      <c r="I24" s="138"/>
      <c r="J24" s="124"/>
    </row>
    <row r="25" spans="1:10" ht="14.25" customHeight="1">
      <c r="A25" s="126">
        <v>21</v>
      </c>
      <c r="B25" s="126"/>
      <c r="C25" s="1" t="s">
        <v>562</v>
      </c>
      <c r="D25" s="124">
        <f t="shared" si="0"/>
        <v>12954380</v>
      </c>
      <c r="E25" s="124"/>
      <c r="F25" s="124">
        <v>12954380</v>
      </c>
      <c r="G25" s="124"/>
      <c r="H25" s="124"/>
      <c r="I25" s="138"/>
      <c r="J25" s="124"/>
    </row>
    <row r="26" spans="1:10" ht="14.25" customHeight="1">
      <c r="A26" s="126">
        <v>22</v>
      </c>
      <c r="B26" s="126"/>
      <c r="C26" s="1" t="s">
        <v>539</v>
      </c>
      <c r="D26" s="124">
        <f t="shared" si="0"/>
        <v>10123620</v>
      </c>
      <c r="E26" s="124">
        <v>10123620</v>
      </c>
      <c r="F26" s="124"/>
      <c r="G26" s="124"/>
      <c r="H26" s="124"/>
      <c r="I26" s="138"/>
      <c r="J26" s="124"/>
    </row>
    <row r="27" spans="1:10" ht="14.25" customHeight="1">
      <c r="A27" s="126">
        <v>23</v>
      </c>
      <c r="B27" s="126"/>
      <c r="C27" s="1" t="s">
        <v>407</v>
      </c>
      <c r="D27" s="124">
        <f t="shared" si="0"/>
        <v>7222999</v>
      </c>
      <c r="E27" s="124"/>
      <c r="F27" s="124">
        <v>7222999</v>
      </c>
      <c r="G27" s="124"/>
      <c r="H27" s="124"/>
      <c r="I27" s="138"/>
      <c r="J27" s="124"/>
    </row>
    <row r="28" spans="1:10" ht="14.25" customHeight="1">
      <c r="A28" s="126">
        <v>24</v>
      </c>
      <c r="B28" s="126"/>
      <c r="C28" s="1" t="s">
        <v>162</v>
      </c>
      <c r="D28" s="124">
        <f t="shared" si="0"/>
        <v>5921817</v>
      </c>
      <c r="E28" s="124"/>
      <c r="F28" s="124">
        <v>5921817</v>
      </c>
      <c r="G28" s="124"/>
      <c r="H28" s="124"/>
      <c r="I28" s="138"/>
      <c r="J28" s="124"/>
    </row>
    <row r="29" spans="1:10" ht="14.25" customHeight="1">
      <c r="A29" s="126">
        <v>25</v>
      </c>
      <c r="B29" s="126"/>
      <c r="C29" s="1" t="s">
        <v>28</v>
      </c>
      <c r="D29" s="124">
        <f t="shared" si="0"/>
        <v>4276550</v>
      </c>
      <c r="E29" s="124">
        <v>4276550</v>
      </c>
      <c r="F29" s="124"/>
      <c r="G29" s="124"/>
      <c r="H29" s="124"/>
      <c r="I29" s="138"/>
      <c r="J29" s="124"/>
    </row>
    <row r="30" spans="1:10" ht="14.25" customHeight="1">
      <c r="A30" s="126">
        <v>26</v>
      </c>
      <c r="B30" s="126"/>
      <c r="C30" s="1" t="s">
        <v>463</v>
      </c>
      <c r="D30" s="124">
        <f t="shared" si="0"/>
        <v>2788767</v>
      </c>
      <c r="E30" s="124"/>
      <c r="F30" s="124"/>
      <c r="G30" s="124">
        <v>305938</v>
      </c>
      <c r="H30" s="124"/>
      <c r="I30" s="138"/>
      <c r="J30" s="124">
        <v>2482829</v>
      </c>
    </row>
    <row r="31" spans="1:10" ht="14.25" customHeight="1">
      <c r="A31" s="126">
        <v>27</v>
      </c>
      <c r="B31" s="126"/>
      <c r="C31" s="1" t="s">
        <v>165</v>
      </c>
      <c r="D31" s="124">
        <f t="shared" si="0"/>
        <v>2505080</v>
      </c>
      <c r="E31" s="124"/>
      <c r="F31" s="124">
        <v>2505080</v>
      </c>
      <c r="G31" s="124"/>
      <c r="H31" s="124"/>
      <c r="I31" s="138"/>
      <c r="J31" s="124"/>
    </row>
    <row r="32" spans="1:10" ht="14.25" customHeight="1">
      <c r="A32" s="126">
        <v>28</v>
      </c>
      <c r="B32" s="126"/>
      <c r="C32" s="1" t="s">
        <v>158</v>
      </c>
      <c r="D32" s="124">
        <f t="shared" si="0"/>
        <v>2261717</v>
      </c>
      <c r="E32" s="124"/>
      <c r="F32" s="124">
        <v>2261717</v>
      </c>
      <c r="G32" s="124"/>
      <c r="H32" s="124"/>
      <c r="I32" s="138"/>
      <c r="J32" s="124"/>
    </row>
    <row r="33" spans="1:10" ht="14.25" customHeight="1">
      <c r="A33" s="126">
        <v>29</v>
      </c>
      <c r="B33" s="126"/>
      <c r="C33" s="1" t="s">
        <v>410</v>
      </c>
      <c r="D33" s="124">
        <f>SUM(E33:J33)</f>
        <v>2235587</v>
      </c>
      <c r="E33" s="124"/>
      <c r="F33" s="124">
        <v>2235587</v>
      </c>
      <c r="G33" s="124"/>
      <c r="H33" s="124"/>
      <c r="I33" s="138"/>
      <c r="J33" s="124"/>
    </row>
    <row r="34" spans="1:10" ht="14.25" customHeight="1">
      <c r="A34" s="126">
        <v>30</v>
      </c>
      <c r="B34" s="126"/>
      <c r="C34" s="1" t="s">
        <v>561</v>
      </c>
      <c r="D34" s="124">
        <f t="shared" si="0"/>
        <v>1146206</v>
      </c>
      <c r="E34" s="124"/>
      <c r="F34" s="124">
        <v>1146206</v>
      </c>
      <c r="G34" s="124"/>
      <c r="H34" s="124"/>
      <c r="I34" s="138"/>
      <c r="J34" s="124"/>
    </row>
    <row r="35" spans="1:10" ht="14.25" customHeight="1">
      <c r="A35" s="126">
        <v>31</v>
      </c>
      <c r="B35" s="126"/>
      <c r="C35" s="1" t="s">
        <v>560</v>
      </c>
      <c r="D35" s="124">
        <f t="shared" si="0"/>
        <v>761710</v>
      </c>
      <c r="E35" s="124">
        <v>761710</v>
      </c>
      <c r="F35" s="124"/>
      <c r="G35" s="124"/>
      <c r="H35" s="124"/>
      <c r="I35" s="138"/>
      <c r="J35" s="124"/>
    </row>
    <row r="36" spans="1:10" ht="14.25" customHeight="1">
      <c r="A36" s="126">
        <v>32</v>
      </c>
      <c r="B36" s="126"/>
      <c r="C36" s="1" t="s">
        <v>559</v>
      </c>
      <c r="D36" s="124">
        <f t="shared" si="0"/>
        <v>481478</v>
      </c>
      <c r="E36" s="124"/>
      <c r="F36" s="124">
        <v>481478</v>
      </c>
      <c r="G36" s="124"/>
      <c r="H36" s="124"/>
      <c r="I36" s="138"/>
      <c r="J36" s="124"/>
    </row>
    <row r="37" spans="1:10" ht="14.25" customHeight="1">
      <c r="A37" s="126">
        <v>33</v>
      </c>
      <c r="B37" s="126"/>
      <c r="C37" s="1" t="s">
        <v>400</v>
      </c>
      <c r="D37" s="124">
        <f t="shared" si="0"/>
        <v>472544</v>
      </c>
      <c r="E37" s="124">
        <v>472544</v>
      </c>
      <c r="F37" s="124"/>
      <c r="G37" s="124"/>
      <c r="H37" s="124"/>
      <c r="I37" s="138"/>
      <c r="J37" s="124"/>
    </row>
    <row r="38" spans="1:10" ht="14.25" customHeight="1">
      <c r="A38" s="126">
        <v>34</v>
      </c>
      <c r="B38" s="126"/>
      <c r="C38" s="1" t="s">
        <v>401</v>
      </c>
      <c r="D38" s="124">
        <f t="shared" si="0"/>
        <v>449568</v>
      </c>
      <c r="E38" s="124"/>
      <c r="F38" s="124">
        <v>449568</v>
      </c>
      <c r="G38" s="124"/>
      <c r="H38" s="124"/>
      <c r="I38" s="138"/>
      <c r="J38" s="124"/>
    </row>
    <row r="39" spans="1:10" ht="14.25" customHeight="1">
      <c r="A39" s="126">
        <v>35</v>
      </c>
      <c r="B39" s="126"/>
      <c r="C39" s="1" t="s">
        <v>558</v>
      </c>
      <c r="D39" s="124">
        <f t="shared" si="0"/>
        <v>172493</v>
      </c>
      <c r="E39" s="124">
        <v>172493</v>
      </c>
      <c r="F39" s="124"/>
      <c r="G39" s="124"/>
      <c r="H39" s="124"/>
      <c r="I39" s="138"/>
      <c r="J39" s="124"/>
    </row>
    <row r="40" spans="1:10" ht="14.25" customHeight="1">
      <c r="A40" s="126">
        <v>36</v>
      </c>
      <c r="B40" s="126"/>
      <c r="C40" s="1" t="s">
        <v>557</v>
      </c>
      <c r="D40" s="124">
        <f t="shared" si="0"/>
        <v>71180</v>
      </c>
      <c r="E40" s="124"/>
      <c r="F40" s="124">
        <v>71180</v>
      </c>
      <c r="G40" s="124"/>
      <c r="H40" s="124"/>
      <c r="I40" s="138"/>
      <c r="J40" s="124"/>
    </row>
    <row r="41" spans="1:10" ht="14.25" customHeight="1">
      <c r="A41" s="126">
        <v>37</v>
      </c>
      <c r="B41" s="126"/>
      <c r="C41" s="1" t="s">
        <v>556</v>
      </c>
      <c r="D41" s="124">
        <f t="shared" si="0"/>
        <v>5688</v>
      </c>
      <c r="E41" s="124"/>
      <c r="F41" s="124">
        <v>5688</v>
      </c>
      <c r="G41" s="124"/>
      <c r="H41" s="124"/>
      <c r="I41" s="138"/>
      <c r="J41" s="124"/>
    </row>
    <row r="42" spans="1:10" ht="15" customHeight="1" thickBot="1">
      <c r="A42" s="137"/>
      <c r="B42" s="139"/>
      <c r="C42" s="141" t="s">
        <v>402</v>
      </c>
      <c r="D42" s="143">
        <f>SUM(D5:D41)</f>
        <v>1697207577</v>
      </c>
      <c r="E42" s="143">
        <f>SUM(E5:E41)</f>
        <v>259001251</v>
      </c>
      <c r="F42" s="143">
        <f>SUM(F5:F41)</f>
        <v>327648612</v>
      </c>
      <c r="G42" s="143">
        <f>SUM(G5:G41)</f>
        <v>175231725</v>
      </c>
      <c r="H42" s="143">
        <f>SUM(H5:H41)</f>
        <v>770821823</v>
      </c>
      <c r="I42" s="143"/>
      <c r="J42" s="143">
        <f>SUM(J5:J41)</f>
        <v>164504166</v>
      </c>
    </row>
    <row r="43" spans="1:10" ht="15" customHeight="1" thickTop="1">
      <c r="A43" s="151"/>
      <c r="B43" s="162"/>
      <c r="C43" s="163"/>
      <c r="D43" s="164"/>
      <c r="E43" s="164"/>
      <c r="F43" s="164"/>
      <c r="G43" s="164"/>
      <c r="H43" s="164"/>
      <c r="I43" s="164"/>
      <c r="J43" s="164"/>
    </row>
    <row r="44" spans="1:10" ht="15" customHeight="1">
      <c r="A44" s="151"/>
      <c r="B44" s="162"/>
      <c r="C44" s="163"/>
      <c r="D44" s="164"/>
      <c r="E44" s="164"/>
      <c r="F44" s="164"/>
      <c r="G44" s="164"/>
      <c r="H44" s="164"/>
      <c r="I44" s="164"/>
      <c r="J44" s="164"/>
    </row>
    <row r="45" spans="1:10" ht="15" customHeight="1">
      <c r="A45" s="151"/>
      <c r="B45" s="162"/>
      <c r="C45" s="163"/>
      <c r="D45" s="164"/>
      <c r="E45" s="164"/>
      <c r="F45" s="164"/>
      <c r="G45" s="164"/>
      <c r="H45" s="164"/>
      <c r="I45" s="164"/>
      <c r="J45" s="164"/>
    </row>
    <row r="46" spans="1:10" ht="15" customHeight="1">
      <c r="A46" s="151"/>
      <c r="B46" s="162"/>
      <c r="C46" s="163"/>
      <c r="D46" s="164"/>
      <c r="E46" s="164"/>
      <c r="F46" s="164"/>
      <c r="G46" s="164"/>
      <c r="H46" s="164"/>
      <c r="I46" s="164"/>
      <c r="J46" s="164"/>
    </row>
    <row r="47" spans="1:10" ht="15" customHeight="1">
      <c r="A47" s="151"/>
      <c r="B47" s="162"/>
      <c r="C47" s="163"/>
      <c r="D47" s="164"/>
      <c r="E47" s="164"/>
      <c r="F47" s="164"/>
      <c r="G47" s="164"/>
      <c r="H47" s="164"/>
      <c r="I47" s="164"/>
      <c r="J47" s="164"/>
    </row>
    <row r="48" spans="1:10" ht="15" customHeight="1">
      <c r="A48" s="151"/>
      <c r="B48" s="162"/>
      <c r="C48" s="163"/>
      <c r="D48" s="164"/>
      <c r="E48" s="164"/>
      <c r="F48" s="164"/>
      <c r="G48" s="164"/>
      <c r="H48" s="164"/>
      <c r="I48" s="164"/>
      <c r="J48" s="164"/>
    </row>
    <row r="49" spans="1:10" ht="15" customHeight="1">
      <c r="A49" s="151"/>
      <c r="B49" s="162"/>
      <c r="C49" s="163"/>
      <c r="D49" s="164"/>
      <c r="E49" s="164"/>
      <c r="F49" s="164"/>
      <c r="G49" s="164"/>
      <c r="H49" s="164"/>
      <c r="I49" s="164"/>
      <c r="J49" s="164"/>
    </row>
    <row r="50" spans="1:10" ht="15" customHeight="1">
      <c r="A50" s="151"/>
      <c r="B50" s="162"/>
      <c r="C50" s="163"/>
      <c r="D50" s="164"/>
      <c r="E50" s="164"/>
      <c r="F50" s="164"/>
      <c r="G50" s="164"/>
      <c r="H50" s="164"/>
      <c r="I50" s="164"/>
      <c r="J50" s="164"/>
    </row>
    <row r="51" spans="1:3" ht="12" customHeight="1">
      <c r="A51" s="165"/>
      <c r="B51" s="165"/>
      <c r="C51" s="165"/>
    </row>
    <row r="52" spans="1:9" ht="11.25">
      <c r="A52" s="166" t="s">
        <v>403</v>
      </c>
      <c r="G52" s="164"/>
      <c r="H52" s="164"/>
      <c r="I52" s="164"/>
    </row>
    <row r="53" spans="1:9" ht="11.25">
      <c r="A53" s="166" t="s">
        <v>404</v>
      </c>
      <c r="G53" s="164"/>
      <c r="H53" s="164"/>
      <c r="I53" s="164"/>
    </row>
    <row r="54" spans="1:10" ht="11.25">
      <c r="A54" s="166" t="s">
        <v>405</v>
      </c>
      <c r="G54" s="167"/>
      <c r="H54" s="167"/>
      <c r="I54" s="167"/>
      <c r="J54" s="167"/>
    </row>
    <row r="55" spans="1:10" ht="11.25">
      <c r="A55" s="166" t="s">
        <v>406</v>
      </c>
      <c r="B55" s="167"/>
      <c r="C55" s="167"/>
      <c r="D55" s="167"/>
      <c r="E55" s="167"/>
      <c r="G55" s="164"/>
      <c r="H55" s="164"/>
      <c r="I55" s="164"/>
      <c r="J55" s="164"/>
    </row>
  </sheetData>
  <sheetProtection/>
  <mergeCells count="1">
    <mergeCell ref="E1:H1"/>
  </mergeCells>
  <printOptions/>
  <pageMargins left="0.34" right="0.29" top="0.7480314960629921" bottom="0.7480314960629921" header="0.31496062992125984" footer="0.31496062992125984"/>
  <pageSetup horizontalDpi="300" verticalDpi="300" orientation="portrait" paperSize="9" r:id="rId1"/>
  <headerFooter>
    <oddHeader>&amp;C&amp;"Times New Roman,Bold"&amp;11 2.3. YFIRLIT YFIR LÍFEYRISSJÓÐAKERFI</oddHeader>
    <oddFooter>&amp;R&amp;"Times New Roman,Regular"8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19"/>
  <sheetViews>
    <sheetView zoomScaleSheetLayoutView="100" workbookViewId="0" topLeftCell="Z1">
      <pane ySplit="1020" topLeftCell="A1" activePane="bottomLeft" state="split"/>
      <selection pane="topLeft" activeCell="AL1" sqref="AL1:AL16384"/>
      <selection pane="bottomLeft" activeCell="AF9" sqref="AF9"/>
    </sheetView>
  </sheetViews>
  <sheetFormatPr defaultColWidth="9.28125" defaultRowHeight="12.75" customHeight="1"/>
  <cols>
    <col min="1" max="1" width="22.7109375" style="178" customWidth="1"/>
    <col min="2" max="2" width="0.85546875" style="178" customWidth="1"/>
    <col min="3" max="4" width="9.7109375" style="178" customWidth="1"/>
    <col min="5" max="12" width="9.28125" style="178" customWidth="1"/>
    <col min="13" max="13" width="9.8515625" style="178" customWidth="1"/>
    <col min="14" max="14" width="10.140625" style="178" customWidth="1"/>
    <col min="15" max="15" width="9.8515625" style="178" customWidth="1"/>
    <col min="16" max="16" width="9.28125" style="178" customWidth="1"/>
    <col min="17" max="17" width="9.7109375" style="178" customWidth="1"/>
    <col min="18" max="18" width="9.8515625" style="178" customWidth="1"/>
    <col min="19" max="19" width="10.00390625" style="178" customWidth="1"/>
    <col min="20" max="20" width="9.7109375" style="178" customWidth="1"/>
    <col min="21" max="21" width="9.421875" style="178" customWidth="1"/>
    <col min="22" max="22" width="9.28125" style="178" customWidth="1"/>
    <col min="23" max="23" width="9.8515625" style="178" customWidth="1"/>
    <col min="24" max="25" width="9.28125" style="178" customWidth="1"/>
    <col min="26" max="26" width="9.57421875" style="178" customWidth="1"/>
    <col min="27" max="27" width="9.7109375" style="186" customWidth="1"/>
    <col min="28" max="28" width="9.57421875" style="178" customWidth="1"/>
    <col min="29" max="29" width="9.8515625" style="178" customWidth="1"/>
    <col min="30" max="30" width="10.57421875" style="178" customWidth="1"/>
    <col min="31" max="31" width="9.28125" style="178" customWidth="1"/>
    <col min="32" max="32" width="9.8515625" style="178" customWidth="1"/>
    <col min="33" max="33" width="9.28125" style="178" customWidth="1"/>
    <col min="34" max="34" width="9.7109375" style="178" customWidth="1"/>
    <col min="35" max="35" width="9.28125" style="178" customWidth="1"/>
    <col min="36" max="36" width="10.00390625" style="178" customWidth="1"/>
    <col min="37" max="37" width="10.57421875" style="178" customWidth="1"/>
    <col min="38" max="38" width="9.57421875" style="178" customWidth="1"/>
    <col min="39" max="39" width="9.28125" style="178" customWidth="1"/>
    <col min="40" max="40" width="8.7109375" style="178" customWidth="1"/>
    <col min="41" max="42" width="9.28125" style="178" customWidth="1"/>
    <col min="43" max="43" width="9.140625" style="178" customWidth="1"/>
    <col min="44" max="16384" width="9.28125" style="178" customWidth="1"/>
  </cols>
  <sheetData>
    <row r="1" spans="2:41" s="170" customFormat="1" ht="12.75" customHeight="1">
      <c r="B1" s="171"/>
      <c r="C1" s="476" t="s">
        <v>383</v>
      </c>
      <c r="D1" s="476" t="s">
        <v>170</v>
      </c>
      <c r="E1" s="476" t="s">
        <v>25</v>
      </c>
      <c r="F1" s="476" t="s">
        <v>368</v>
      </c>
      <c r="G1" s="476" t="s">
        <v>369</v>
      </c>
      <c r="H1" s="477" t="s">
        <v>547</v>
      </c>
      <c r="I1" s="476" t="s">
        <v>31</v>
      </c>
      <c r="J1" s="476" t="s">
        <v>223</v>
      </c>
      <c r="K1" s="476" t="s">
        <v>2</v>
      </c>
      <c r="L1" s="476" t="s">
        <v>24</v>
      </c>
      <c r="M1" s="476" t="s">
        <v>166</v>
      </c>
      <c r="N1" s="476" t="s">
        <v>3</v>
      </c>
      <c r="O1" s="476" t="s">
        <v>384</v>
      </c>
      <c r="P1" s="476" t="s">
        <v>370</v>
      </c>
      <c r="Q1" s="476" t="s">
        <v>433</v>
      </c>
      <c r="R1" s="476" t="s">
        <v>30</v>
      </c>
      <c r="S1" s="476" t="s">
        <v>230</v>
      </c>
      <c r="T1" s="476" t="s">
        <v>161</v>
      </c>
      <c r="U1" s="476" t="s">
        <v>27</v>
      </c>
      <c r="V1" s="476" t="s">
        <v>157</v>
      </c>
      <c r="W1" s="476" t="s">
        <v>382</v>
      </c>
      <c r="X1" s="476" t="s">
        <v>539</v>
      </c>
      <c r="Y1" s="476" t="s">
        <v>379</v>
      </c>
      <c r="Z1" s="476" t="s">
        <v>162</v>
      </c>
      <c r="AA1" s="476" t="s">
        <v>28</v>
      </c>
      <c r="AB1" s="476" t="s">
        <v>169</v>
      </c>
      <c r="AC1" s="476" t="s">
        <v>165</v>
      </c>
      <c r="AD1" s="476" t="s">
        <v>158</v>
      </c>
      <c r="AE1" s="476" t="s">
        <v>4</v>
      </c>
      <c r="AF1" s="476" t="s">
        <v>160</v>
      </c>
      <c r="AG1" s="476" t="s">
        <v>5</v>
      </c>
      <c r="AH1" s="476" t="s">
        <v>163</v>
      </c>
      <c r="AI1" s="476" t="s">
        <v>6</v>
      </c>
      <c r="AJ1" s="476" t="s">
        <v>226</v>
      </c>
      <c r="AK1" s="476" t="s">
        <v>381</v>
      </c>
      <c r="AL1" s="476" t="s">
        <v>168</v>
      </c>
      <c r="AM1" s="476" t="s">
        <v>380</v>
      </c>
      <c r="AN1" s="172"/>
      <c r="AO1" s="476" t="s">
        <v>385</v>
      </c>
    </row>
    <row r="2" spans="1:41" s="170" customFormat="1" ht="12.75" customHeight="1">
      <c r="A2" s="171"/>
      <c r="B2" s="171"/>
      <c r="C2" s="476"/>
      <c r="D2" s="476"/>
      <c r="E2" s="476"/>
      <c r="F2" s="476"/>
      <c r="G2" s="476"/>
      <c r="H2" s="477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172"/>
      <c r="AO2" s="476"/>
    </row>
    <row r="3" spans="1:41" s="170" customFormat="1" ht="12" customHeight="1">
      <c r="A3" s="174" t="s">
        <v>8</v>
      </c>
      <c r="B3" s="171"/>
      <c r="C3" s="476"/>
      <c r="D3" s="476"/>
      <c r="E3" s="476"/>
      <c r="F3" s="476"/>
      <c r="G3" s="476"/>
      <c r="H3" s="477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172"/>
      <c r="AO3" s="476"/>
    </row>
    <row r="4" spans="1:41" s="170" customFormat="1" ht="12" customHeight="1">
      <c r="A4" s="171"/>
      <c r="B4" s="171"/>
      <c r="C4" s="175" t="s">
        <v>481</v>
      </c>
      <c r="D4" s="175" t="s">
        <v>511</v>
      </c>
      <c r="E4" s="175" t="s">
        <v>491</v>
      </c>
      <c r="F4" s="175" t="s">
        <v>515</v>
      </c>
      <c r="G4" s="175" t="s">
        <v>482</v>
      </c>
      <c r="H4" s="175" t="s">
        <v>517</v>
      </c>
      <c r="I4" s="175" t="s">
        <v>490</v>
      </c>
      <c r="J4" s="175" t="s">
        <v>501</v>
      </c>
      <c r="K4" s="175" t="s">
        <v>516</v>
      </c>
      <c r="L4" s="175" t="s">
        <v>489</v>
      </c>
      <c r="M4" s="175" t="s">
        <v>496</v>
      </c>
      <c r="N4" s="175" t="s">
        <v>494</v>
      </c>
      <c r="O4" s="175" t="s">
        <v>510</v>
      </c>
      <c r="P4" s="175" t="s">
        <v>512</v>
      </c>
      <c r="Q4" s="175" t="s">
        <v>508</v>
      </c>
      <c r="R4" s="175" t="s">
        <v>492</v>
      </c>
      <c r="S4" s="175" t="s">
        <v>499</v>
      </c>
      <c r="T4" s="175" t="s">
        <v>513</v>
      </c>
      <c r="U4" s="175" t="s">
        <v>495</v>
      </c>
      <c r="V4" s="175" t="s">
        <v>483</v>
      </c>
      <c r="W4" s="175" t="s">
        <v>507</v>
      </c>
      <c r="X4" s="175" t="s">
        <v>505</v>
      </c>
      <c r="Y4" s="175" t="s">
        <v>486</v>
      </c>
      <c r="Z4" s="175" t="s">
        <v>502</v>
      </c>
      <c r="AA4" s="175" t="s">
        <v>497</v>
      </c>
      <c r="AB4" s="175" t="s">
        <v>498</v>
      </c>
      <c r="AC4" s="175" t="s">
        <v>509</v>
      </c>
      <c r="AD4" s="175" t="s">
        <v>506</v>
      </c>
      <c r="AE4" s="175" t="s">
        <v>504</v>
      </c>
      <c r="AF4" s="175" t="s">
        <v>487</v>
      </c>
      <c r="AG4" s="175" t="s">
        <v>500</v>
      </c>
      <c r="AH4" s="175" t="s">
        <v>493</v>
      </c>
      <c r="AI4" s="175" t="s">
        <v>484</v>
      </c>
      <c r="AJ4" s="175" t="s">
        <v>488</v>
      </c>
      <c r="AK4" s="175" t="s">
        <v>485</v>
      </c>
      <c r="AL4" s="175" t="s">
        <v>503</v>
      </c>
      <c r="AM4" s="175" t="s">
        <v>514</v>
      </c>
      <c r="AN4" s="172"/>
      <c r="AO4" s="172"/>
    </row>
    <row r="5" spans="1:40" ht="12.75" customHeight="1">
      <c r="A5" s="176" t="s">
        <v>40</v>
      </c>
      <c r="B5" s="176"/>
      <c r="C5" s="183"/>
      <c r="D5" s="183"/>
      <c r="E5" s="183"/>
      <c r="F5" s="183"/>
      <c r="G5" s="176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</row>
    <row r="6" spans="1:41" ht="12.75" customHeight="1">
      <c r="A6" s="174" t="s">
        <v>41</v>
      </c>
      <c r="B6" s="174"/>
      <c r="C6" s="179">
        <v>4504332</v>
      </c>
      <c r="D6" s="178">
        <v>5344071</v>
      </c>
      <c r="E6" s="179">
        <v>3389030</v>
      </c>
      <c r="F6" s="179">
        <v>1862116</v>
      </c>
      <c r="G6" s="179">
        <v>3155415</v>
      </c>
      <c r="H6" s="179">
        <v>1914651</v>
      </c>
      <c r="I6" s="179">
        <v>1407136</v>
      </c>
      <c r="J6" s="179">
        <v>2195842</v>
      </c>
      <c r="K6" s="179">
        <v>926489</v>
      </c>
      <c r="L6" s="179">
        <v>1152492</v>
      </c>
      <c r="M6" s="179">
        <v>128063</v>
      </c>
      <c r="N6" s="179">
        <v>612365</v>
      </c>
      <c r="O6" s="179">
        <v>757053</v>
      </c>
      <c r="P6" s="179">
        <v>2363549</v>
      </c>
      <c r="Q6" s="179">
        <v>1394921</v>
      </c>
      <c r="R6" s="179">
        <v>276583</v>
      </c>
      <c r="S6" s="179">
        <v>249572</v>
      </c>
      <c r="T6" s="179">
        <v>83112</v>
      </c>
      <c r="U6" s="179">
        <v>157892</v>
      </c>
      <c r="V6" s="179">
        <v>185954</v>
      </c>
      <c r="W6" s="179">
        <v>23304</v>
      </c>
      <c r="X6" s="179">
        <v>0</v>
      </c>
      <c r="Y6" s="179">
        <v>1962</v>
      </c>
      <c r="Z6" s="179">
        <v>21653</v>
      </c>
      <c r="AA6" s="179">
        <v>75013</v>
      </c>
      <c r="AB6" s="179">
        <v>45758</v>
      </c>
      <c r="AC6" s="179">
        <v>20212</v>
      </c>
      <c r="AD6" s="179">
        <v>23392</v>
      </c>
      <c r="AE6" s="179">
        <v>9747</v>
      </c>
      <c r="AF6" s="179">
        <v>6755</v>
      </c>
      <c r="AG6" s="179">
        <v>0</v>
      </c>
      <c r="AH6" s="179">
        <v>2748</v>
      </c>
      <c r="AI6" s="179">
        <v>0</v>
      </c>
      <c r="AJ6" s="179">
        <v>2039</v>
      </c>
      <c r="AK6" s="179">
        <v>0</v>
      </c>
      <c r="AL6" s="179">
        <v>6197</v>
      </c>
      <c r="AM6" s="184">
        <v>0</v>
      </c>
      <c r="AO6" s="178">
        <f>SUM(C6:AM6)</f>
        <v>32299418</v>
      </c>
    </row>
    <row r="7" spans="1:41" ht="12.75" customHeight="1">
      <c r="A7" s="174" t="s">
        <v>42</v>
      </c>
      <c r="B7" s="174"/>
      <c r="C7" s="179">
        <v>11341039</v>
      </c>
      <c r="D7" s="179">
        <v>10294744</v>
      </c>
      <c r="E7" s="179">
        <v>6728973</v>
      </c>
      <c r="F7" s="178">
        <v>3464566</v>
      </c>
      <c r="G7" s="179">
        <v>4786998</v>
      </c>
      <c r="H7" s="179">
        <v>3826863</v>
      </c>
      <c r="I7" s="179">
        <v>2697297</v>
      </c>
      <c r="J7" s="179">
        <v>3961624</v>
      </c>
      <c r="K7" s="179">
        <v>1669778</v>
      </c>
      <c r="L7" s="179">
        <v>2373512</v>
      </c>
      <c r="M7" s="179">
        <v>386979</v>
      </c>
      <c r="N7" s="179">
        <v>1081653</v>
      </c>
      <c r="O7" s="179">
        <v>1523445</v>
      </c>
      <c r="P7" s="179">
        <v>2592886</v>
      </c>
      <c r="Q7" s="179">
        <v>2876772</v>
      </c>
      <c r="R7" s="179">
        <v>534898</v>
      </c>
      <c r="S7" s="179">
        <v>484875</v>
      </c>
      <c r="T7" s="179">
        <v>197339</v>
      </c>
      <c r="U7" s="179">
        <v>308162</v>
      </c>
      <c r="V7" s="179">
        <v>743224</v>
      </c>
      <c r="W7" s="179">
        <v>85096</v>
      </c>
      <c r="X7" s="179">
        <v>0</v>
      </c>
      <c r="Y7" s="179">
        <v>659451</v>
      </c>
      <c r="Z7" s="179">
        <v>3400965</v>
      </c>
      <c r="AA7" s="179">
        <v>154632</v>
      </c>
      <c r="AB7" s="179">
        <v>80458</v>
      </c>
      <c r="AC7" s="179">
        <v>39379</v>
      </c>
      <c r="AD7" s="179">
        <v>61634</v>
      </c>
      <c r="AE7" s="179">
        <v>19211</v>
      </c>
      <c r="AF7" s="179">
        <v>13509</v>
      </c>
      <c r="AG7" s="179">
        <v>0</v>
      </c>
      <c r="AH7" s="179">
        <v>5816</v>
      </c>
      <c r="AI7" s="179">
        <v>0</v>
      </c>
      <c r="AJ7" s="179">
        <v>4078</v>
      </c>
      <c r="AK7" s="179">
        <v>0</v>
      </c>
      <c r="AL7" s="179">
        <v>9297</v>
      </c>
      <c r="AM7" s="179">
        <v>0</v>
      </c>
      <c r="AN7" s="184"/>
      <c r="AO7" s="178">
        <f>SUM(C7:AM7)</f>
        <v>66409153</v>
      </c>
    </row>
    <row r="8" spans="1:41" ht="12.75" customHeight="1">
      <c r="A8" s="174" t="s">
        <v>43</v>
      </c>
      <c r="B8" s="174"/>
      <c r="C8" s="179">
        <v>-62027</v>
      </c>
      <c r="D8" s="179">
        <v>0</v>
      </c>
      <c r="E8" s="179">
        <v>15724</v>
      </c>
      <c r="F8" s="179">
        <v>-189461</v>
      </c>
      <c r="G8" s="179">
        <v>428333</v>
      </c>
      <c r="H8" s="179">
        <v>-272788</v>
      </c>
      <c r="I8" s="179">
        <v>-92129</v>
      </c>
      <c r="J8" s="179">
        <v>-540245</v>
      </c>
      <c r="K8" s="179">
        <v>-27549</v>
      </c>
      <c r="L8" s="179">
        <v>-17608</v>
      </c>
      <c r="M8" s="179">
        <v>-3760</v>
      </c>
      <c r="N8" s="179">
        <v>7806</v>
      </c>
      <c r="O8" s="179">
        <v>-33691</v>
      </c>
      <c r="P8" s="179">
        <v>664797</v>
      </c>
      <c r="Q8" s="179">
        <v>-117442</v>
      </c>
      <c r="R8" s="179">
        <v>-1472</v>
      </c>
      <c r="S8" s="179">
        <v>-4969</v>
      </c>
      <c r="T8" s="179">
        <v>-22</v>
      </c>
      <c r="U8" s="179">
        <v>3173</v>
      </c>
      <c r="V8" s="179">
        <v>0</v>
      </c>
      <c r="W8" s="179">
        <v>0</v>
      </c>
      <c r="X8" s="179">
        <v>-1847</v>
      </c>
      <c r="Y8" s="179">
        <v>-679215</v>
      </c>
      <c r="Z8" s="179">
        <v>-3706</v>
      </c>
      <c r="AA8" s="179">
        <v>-12566</v>
      </c>
      <c r="AB8" s="179">
        <v>1572</v>
      </c>
      <c r="AC8" s="179">
        <v>224</v>
      </c>
      <c r="AD8" s="179">
        <v>0</v>
      </c>
      <c r="AE8" s="179">
        <v>1282839</v>
      </c>
      <c r="AF8" s="179">
        <v>0</v>
      </c>
      <c r="AG8" s="179">
        <v>339</v>
      </c>
      <c r="AH8" s="179">
        <v>0</v>
      </c>
      <c r="AI8" s="179">
        <v>-1</v>
      </c>
      <c r="AJ8" s="179">
        <v>0</v>
      </c>
      <c r="AK8" s="179">
        <v>0</v>
      </c>
      <c r="AL8" s="179">
        <v>31407</v>
      </c>
      <c r="AM8" s="179">
        <v>7</v>
      </c>
      <c r="AN8" s="184"/>
      <c r="AO8" s="178">
        <f>SUM(C8:AM8)</f>
        <v>375723</v>
      </c>
    </row>
    <row r="9" spans="1:41" ht="12.75" customHeight="1">
      <c r="A9" s="174" t="s">
        <v>44</v>
      </c>
      <c r="B9" s="174"/>
      <c r="C9" s="179">
        <v>20342614</v>
      </c>
      <c r="D9" s="179">
        <v>0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17882</v>
      </c>
      <c r="K9" s="179">
        <v>0</v>
      </c>
      <c r="L9" s="179">
        <v>0</v>
      </c>
      <c r="M9" s="179">
        <v>24826143</v>
      </c>
      <c r="N9" s="179">
        <v>0</v>
      </c>
      <c r="O9" s="179">
        <v>0</v>
      </c>
      <c r="P9" s="179">
        <v>-1</v>
      </c>
      <c r="Q9" s="179">
        <v>0</v>
      </c>
      <c r="R9" s="179">
        <v>0</v>
      </c>
      <c r="S9" s="179">
        <v>29319</v>
      </c>
      <c r="T9" s="179">
        <v>879843</v>
      </c>
      <c r="U9" s="179">
        <v>0</v>
      </c>
      <c r="V9" s="179">
        <v>0</v>
      </c>
      <c r="W9" s="179">
        <v>0</v>
      </c>
      <c r="X9" s="179">
        <v>144341</v>
      </c>
      <c r="Y9" s="179">
        <v>0</v>
      </c>
      <c r="Z9" s="179">
        <v>0</v>
      </c>
      <c r="AA9" s="179">
        <v>0</v>
      </c>
      <c r="AB9" s="179">
        <v>0</v>
      </c>
      <c r="AC9" s="179">
        <v>92468</v>
      </c>
      <c r="AD9" s="179">
        <v>0</v>
      </c>
      <c r="AE9" s="179">
        <v>0</v>
      </c>
      <c r="AF9" s="179">
        <v>66943</v>
      </c>
      <c r="AG9" s="179">
        <v>0</v>
      </c>
      <c r="AH9" s="179">
        <v>33782</v>
      </c>
      <c r="AI9" s="179">
        <v>0</v>
      </c>
      <c r="AJ9" s="179">
        <v>31822</v>
      </c>
      <c r="AK9" s="179">
        <v>0</v>
      </c>
      <c r="AL9" s="179">
        <v>36110</v>
      </c>
      <c r="AM9" s="179">
        <v>176000</v>
      </c>
      <c r="AN9" s="184"/>
      <c r="AO9" s="178">
        <f>SUM(C9:AM9)</f>
        <v>46677266</v>
      </c>
    </row>
    <row r="10" spans="1:41" ht="12.75" customHeight="1">
      <c r="A10" s="177" t="s">
        <v>372</v>
      </c>
      <c r="B10" s="164"/>
      <c r="C10" s="179">
        <f aca="true" t="shared" si="0" ref="C10:K10">SUM(C6:C9)</f>
        <v>36125958</v>
      </c>
      <c r="D10" s="179">
        <f>SUM(D6:D9)</f>
        <v>15638815</v>
      </c>
      <c r="E10" s="179">
        <f>SUM(E6:E9)</f>
        <v>10133727</v>
      </c>
      <c r="F10" s="179">
        <f>SUM(F6:F9)</f>
        <v>5137221</v>
      </c>
      <c r="G10" s="179">
        <f t="shared" si="0"/>
        <v>8370746</v>
      </c>
      <c r="H10" s="179">
        <f t="shared" si="0"/>
        <v>5468726</v>
      </c>
      <c r="I10" s="179">
        <f t="shared" si="0"/>
        <v>4012304</v>
      </c>
      <c r="J10" s="179">
        <f t="shared" si="0"/>
        <v>5635103</v>
      </c>
      <c r="K10" s="179">
        <f t="shared" si="0"/>
        <v>2568718</v>
      </c>
      <c r="L10" s="179">
        <f aca="true" t="shared" si="1" ref="L10:AM10">SUM(L6:L9)</f>
        <v>3508396</v>
      </c>
      <c r="M10" s="179">
        <f t="shared" si="1"/>
        <v>25337425</v>
      </c>
      <c r="N10" s="179">
        <f t="shared" si="1"/>
        <v>1701824</v>
      </c>
      <c r="O10" s="179">
        <f t="shared" si="1"/>
        <v>2246807</v>
      </c>
      <c r="P10" s="179">
        <f t="shared" si="1"/>
        <v>5621231</v>
      </c>
      <c r="Q10" s="179">
        <f t="shared" si="1"/>
        <v>4154251</v>
      </c>
      <c r="R10" s="179">
        <f t="shared" si="1"/>
        <v>810009</v>
      </c>
      <c r="S10" s="179">
        <f t="shared" si="1"/>
        <v>758797</v>
      </c>
      <c r="T10" s="179">
        <f t="shared" si="1"/>
        <v>1160272</v>
      </c>
      <c r="U10" s="179">
        <f t="shared" si="1"/>
        <v>469227</v>
      </c>
      <c r="V10" s="179">
        <f t="shared" si="1"/>
        <v>929178</v>
      </c>
      <c r="W10" s="179">
        <f t="shared" si="1"/>
        <v>108400</v>
      </c>
      <c r="X10" s="179">
        <f t="shared" si="1"/>
        <v>142494</v>
      </c>
      <c r="Y10" s="179">
        <f t="shared" si="1"/>
        <v>-17802</v>
      </c>
      <c r="Z10" s="179">
        <f t="shared" si="1"/>
        <v>3418912</v>
      </c>
      <c r="AA10" s="179">
        <f t="shared" si="1"/>
        <v>217079</v>
      </c>
      <c r="AB10" s="179">
        <f t="shared" si="1"/>
        <v>127788</v>
      </c>
      <c r="AC10" s="179">
        <f t="shared" si="1"/>
        <v>152283</v>
      </c>
      <c r="AD10" s="179">
        <f>SUM(AD6:AD9)</f>
        <v>85026</v>
      </c>
      <c r="AE10" s="179">
        <f t="shared" si="1"/>
        <v>1311797</v>
      </c>
      <c r="AF10" s="179">
        <f t="shared" si="1"/>
        <v>87207</v>
      </c>
      <c r="AG10" s="179">
        <f t="shared" si="1"/>
        <v>339</v>
      </c>
      <c r="AH10" s="179">
        <f t="shared" si="1"/>
        <v>42346</v>
      </c>
      <c r="AI10" s="179">
        <f t="shared" si="1"/>
        <v>-1</v>
      </c>
      <c r="AJ10" s="179">
        <f t="shared" si="1"/>
        <v>37939</v>
      </c>
      <c r="AK10" s="179">
        <f t="shared" si="1"/>
        <v>0</v>
      </c>
      <c r="AL10" s="179">
        <f>SUM(AL6:AL9)</f>
        <v>83011</v>
      </c>
      <c r="AM10" s="179">
        <f t="shared" si="1"/>
        <v>176007</v>
      </c>
      <c r="AN10" s="140"/>
      <c r="AO10" s="140">
        <f>SUM(AO6:AO9)</f>
        <v>145761560</v>
      </c>
    </row>
    <row r="11" spans="2:40" ht="12.75" customHeight="1">
      <c r="B11" s="177"/>
      <c r="C11" s="183"/>
      <c r="D11" s="183"/>
      <c r="E11" s="184"/>
      <c r="F11" s="184"/>
      <c r="G11" s="140"/>
      <c r="H11" s="183"/>
      <c r="I11" s="184"/>
      <c r="J11" s="184"/>
      <c r="K11" s="184"/>
      <c r="L11" s="184"/>
      <c r="M11" s="183"/>
      <c r="N11" s="183"/>
      <c r="O11" s="183"/>
      <c r="P11" s="184"/>
      <c r="Q11" s="183"/>
      <c r="R11" s="183"/>
      <c r="S11" s="183"/>
      <c r="T11" s="183"/>
      <c r="U11" s="183"/>
      <c r="V11" s="184"/>
      <c r="W11" s="184"/>
      <c r="X11" s="184"/>
      <c r="Y11" s="184"/>
      <c r="Z11" s="184"/>
      <c r="AA11" s="184"/>
      <c r="AB11" s="183"/>
      <c r="AC11" s="183"/>
      <c r="AD11" s="184"/>
      <c r="AE11" s="184"/>
      <c r="AF11" s="184"/>
      <c r="AG11" s="184"/>
      <c r="AH11" s="183"/>
      <c r="AI11" s="184"/>
      <c r="AJ11" s="183"/>
      <c r="AK11" s="183"/>
      <c r="AL11" s="183"/>
      <c r="AM11" s="183"/>
      <c r="AN11" s="184"/>
    </row>
    <row r="12" spans="1:40" ht="12.75" customHeight="1">
      <c r="A12" s="176" t="s">
        <v>46</v>
      </c>
      <c r="B12" s="176"/>
      <c r="C12" s="183"/>
      <c r="D12" s="183"/>
      <c r="E12" s="184"/>
      <c r="G12" s="140"/>
      <c r="H12" s="183"/>
      <c r="I12" s="184"/>
      <c r="J12" s="184"/>
      <c r="K12" s="184"/>
      <c r="L12" s="184"/>
      <c r="M12" s="183"/>
      <c r="N12" s="183"/>
      <c r="O12" s="183"/>
      <c r="P12" s="184"/>
      <c r="Q12" s="183"/>
      <c r="R12" s="183"/>
      <c r="S12" s="183"/>
      <c r="T12" s="183"/>
      <c r="U12" s="183"/>
      <c r="V12" s="184"/>
      <c r="W12" s="184"/>
      <c r="X12" s="184"/>
      <c r="Y12" s="184"/>
      <c r="Z12" s="184"/>
      <c r="AA12" s="184"/>
      <c r="AB12" s="183"/>
      <c r="AC12" s="183"/>
      <c r="AD12" s="184"/>
      <c r="AE12" s="184"/>
      <c r="AF12" s="184"/>
      <c r="AG12" s="184"/>
      <c r="AH12" s="183"/>
      <c r="AI12" s="184"/>
      <c r="AJ12" s="183"/>
      <c r="AK12" s="183"/>
      <c r="AL12" s="183"/>
      <c r="AM12" s="183"/>
      <c r="AN12" s="184"/>
    </row>
    <row r="13" spans="1:41" ht="12.75" customHeight="1">
      <c r="A13" s="174" t="s">
        <v>47</v>
      </c>
      <c r="B13" s="174"/>
      <c r="C13" s="179">
        <v>16043660</v>
      </c>
      <c r="D13" s="179">
        <v>4071298</v>
      </c>
      <c r="E13" s="179">
        <v>5821957</v>
      </c>
      <c r="F13" s="179">
        <v>2388939</v>
      </c>
      <c r="G13" s="179">
        <v>1497752</v>
      </c>
      <c r="H13" s="179">
        <v>2020104</v>
      </c>
      <c r="I13" s="179">
        <v>1772792</v>
      </c>
      <c r="J13" s="179">
        <v>1055219</v>
      </c>
      <c r="K13" s="179">
        <v>640968</v>
      </c>
      <c r="L13" s="179">
        <v>1226083</v>
      </c>
      <c r="M13" s="179">
        <v>1933002</v>
      </c>
      <c r="N13" s="179">
        <v>1021830</v>
      </c>
      <c r="O13" s="179">
        <v>274878</v>
      </c>
      <c r="P13" s="179">
        <v>365243</v>
      </c>
      <c r="Q13" s="179">
        <v>294497</v>
      </c>
      <c r="R13" s="179">
        <v>616013</v>
      </c>
      <c r="S13" s="179">
        <v>530343</v>
      </c>
      <c r="T13" s="179">
        <v>1129044</v>
      </c>
      <c r="U13" s="179">
        <v>793272</v>
      </c>
      <c r="V13" s="179">
        <v>485459</v>
      </c>
      <c r="W13" s="179">
        <v>427579</v>
      </c>
      <c r="X13" s="179">
        <v>475551</v>
      </c>
      <c r="Y13" s="179">
        <v>193233</v>
      </c>
      <c r="Z13" s="179">
        <v>274934</v>
      </c>
      <c r="AA13" s="179">
        <v>95649</v>
      </c>
      <c r="AB13" s="179">
        <v>60035</v>
      </c>
      <c r="AC13" s="179">
        <v>168123</v>
      </c>
      <c r="AD13" s="179">
        <v>106070</v>
      </c>
      <c r="AE13" s="179">
        <v>50785</v>
      </c>
      <c r="AF13" s="179">
        <v>146617</v>
      </c>
      <c r="AG13" s="179">
        <v>41749</v>
      </c>
      <c r="AH13" s="179">
        <v>50421</v>
      </c>
      <c r="AI13" s="179">
        <v>42837</v>
      </c>
      <c r="AJ13" s="179">
        <v>60277</v>
      </c>
      <c r="AK13" s="179">
        <v>29062</v>
      </c>
      <c r="AL13" s="179">
        <v>79211</v>
      </c>
      <c r="AM13" s="179">
        <v>198151</v>
      </c>
      <c r="AN13" s="184"/>
      <c r="AO13" s="178">
        <f>SUM(C13:AM13)</f>
        <v>46482637</v>
      </c>
    </row>
    <row r="14" spans="1:41" ht="12.75" customHeight="1">
      <c r="A14" s="174" t="s">
        <v>48</v>
      </c>
      <c r="B14" s="174"/>
      <c r="C14" s="179">
        <v>0</v>
      </c>
      <c r="D14" s="179">
        <v>-1673</v>
      </c>
      <c r="E14" s="179">
        <v>-22358</v>
      </c>
      <c r="F14" s="179">
        <v>-8533</v>
      </c>
      <c r="G14" s="179">
        <v>0</v>
      </c>
      <c r="H14" s="179">
        <v>-11283</v>
      </c>
      <c r="I14" s="179">
        <v>-3170</v>
      </c>
      <c r="J14" s="179">
        <v>-272</v>
      </c>
      <c r="K14" s="179">
        <v>0</v>
      </c>
      <c r="L14" s="179">
        <v>-9631</v>
      </c>
      <c r="M14" s="179">
        <v>0</v>
      </c>
      <c r="N14" s="179">
        <v>0</v>
      </c>
      <c r="O14" s="179">
        <v>0</v>
      </c>
      <c r="P14" s="179">
        <v>0</v>
      </c>
      <c r="Q14" s="179">
        <v>0</v>
      </c>
      <c r="R14" s="179">
        <v>-1447</v>
      </c>
      <c r="S14" s="179">
        <v>-1676</v>
      </c>
      <c r="T14" s="179">
        <v>0</v>
      </c>
      <c r="U14" s="179">
        <v>-41886</v>
      </c>
      <c r="V14" s="179">
        <v>0</v>
      </c>
      <c r="W14" s="179">
        <v>0</v>
      </c>
      <c r="X14" s="179">
        <v>0</v>
      </c>
      <c r="Y14" s="179">
        <v>0</v>
      </c>
      <c r="Z14" s="179">
        <v>0</v>
      </c>
      <c r="AA14" s="179">
        <v>-220</v>
      </c>
      <c r="AB14" s="179">
        <v>0</v>
      </c>
      <c r="AC14" s="179">
        <v>0</v>
      </c>
      <c r="AD14" s="179">
        <v>0</v>
      </c>
      <c r="AE14" s="179">
        <v>0</v>
      </c>
      <c r="AF14" s="179">
        <v>0</v>
      </c>
      <c r="AG14" s="179">
        <v>-223</v>
      </c>
      <c r="AH14" s="179">
        <v>0</v>
      </c>
      <c r="AI14" s="179">
        <v>0</v>
      </c>
      <c r="AJ14" s="179">
        <v>0</v>
      </c>
      <c r="AK14" s="179">
        <v>0</v>
      </c>
      <c r="AL14" s="179">
        <v>0</v>
      </c>
      <c r="AM14" s="179">
        <v>0</v>
      </c>
      <c r="AN14" s="184"/>
      <c r="AO14" s="178">
        <f>SUM(C14:AM14)</f>
        <v>-102372</v>
      </c>
    </row>
    <row r="15" spans="1:41" ht="12.75" customHeight="1">
      <c r="A15" s="174" t="s">
        <v>49</v>
      </c>
      <c r="B15" s="174"/>
      <c r="C15" s="179">
        <v>2170</v>
      </c>
      <c r="D15" s="179">
        <v>7782</v>
      </c>
      <c r="E15" s="179">
        <v>12994</v>
      </c>
      <c r="F15" s="179">
        <v>-59930</v>
      </c>
      <c r="G15" s="179">
        <v>0</v>
      </c>
      <c r="H15" s="179">
        <v>5612</v>
      </c>
      <c r="I15" s="179">
        <v>-34451</v>
      </c>
      <c r="J15" s="179">
        <v>0</v>
      </c>
      <c r="K15" s="179">
        <v>0</v>
      </c>
      <c r="L15" s="179">
        <v>3669</v>
      </c>
      <c r="M15" s="179">
        <v>0</v>
      </c>
      <c r="N15" s="179">
        <v>0</v>
      </c>
      <c r="O15" s="179">
        <v>37</v>
      </c>
      <c r="P15" s="179">
        <v>0</v>
      </c>
      <c r="Q15" s="179">
        <v>0</v>
      </c>
      <c r="R15" s="179">
        <v>-29366</v>
      </c>
      <c r="S15" s="179">
        <v>0</v>
      </c>
      <c r="T15" s="179">
        <v>95</v>
      </c>
      <c r="U15" s="179">
        <v>511</v>
      </c>
      <c r="V15" s="179">
        <v>27</v>
      </c>
      <c r="W15" s="179">
        <v>0</v>
      </c>
      <c r="X15" s="179">
        <v>-705</v>
      </c>
      <c r="Y15" s="179">
        <v>0</v>
      </c>
      <c r="Z15" s="179">
        <v>0</v>
      </c>
      <c r="AA15" s="179">
        <v>0</v>
      </c>
      <c r="AB15" s="179">
        <v>324</v>
      </c>
      <c r="AC15" s="179">
        <v>0</v>
      </c>
      <c r="AD15" s="179">
        <v>0</v>
      </c>
      <c r="AE15" s="179">
        <v>0</v>
      </c>
      <c r="AF15" s="179">
        <v>0</v>
      </c>
      <c r="AG15" s="179">
        <v>-383</v>
      </c>
      <c r="AH15" s="179">
        <v>0</v>
      </c>
      <c r="AI15" s="179">
        <v>0</v>
      </c>
      <c r="AJ15" s="179">
        <v>0</v>
      </c>
      <c r="AK15" s="179">
        <v>0</v>
      </c>
      <c r="AL15" s="179">
        <v>0</v>
      </c>
      <c r="AM15" s="179">
        <v>0</v>
      </c>
      <c r="AN15" s="184"/>
      <c r="AO15" s="178">
        <f>SUM(C15:AM15)</f>
        <v>-91614</v>
      </c>
    </row>
    <row r="16" spans="1:41" ht="12.75" customHeight="1">
      <c r="A16" s="174" t="s">
        <v>50</v>
      </c>
      <c r="B16" s="174"/>
      <c r="C16" s="179">
        <v>0</v>
      </c>
      <c r="D16" s="179">
        <v>0</v>
      </c>
      <c r="E16" s="179">
        <v>-370026</v>
      </c>
      <c r="F16" s="179">
        <v>3275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-1573</v>
      </c>
      <c r="Q16" s="179">
        <v>0</v>
      </c>
      <c r="R16" s="179">
        <v>0</v>
      </c>
      <c r="S16" s="179">
        <v>0</v>
      </c>
      <c r="T16" s="179">
        <v>0</v>
      </c>
      <c r="U16" s="179">
        <v>0</v>
      </c>
      <c r="V16" s="179">
        <v>0</v>
      </c>
      <c r="W16" s="179">
        <v>0</v>
      </c>
      <c r="X16" s="179">
        <v>0</v>
      </c>
      <c r="Y16" s="179">
        <v>0</v>
      </c>
      <c r="Z16" s="179">
        <v>0</v>
      </c>
      <c r="AA16" s="179">
        <v>0</v>
      </c>
      <c r="AB16" s="179">
        <v>418</v>
      </c>
      <c r="AC16" s="179">
        <v>0</v>
      </c>
      <c r="AD16" s="179">
        <v>0</v>
      </c>
      <c r="AE16" s="179">
        <v>0</v>
      </c>
      <c r="AF16" s="179">
        <v>0</v>
      </c>
      <c r="AG16" s="179">
        <v>0</v>
      </c>
      <c r="AH16" s="179">
        <v>0</v>
      </c>
      <c r="AI16" s="179">
        <v>0</v>
      </c>
      <c r="AJ16" s="179">
        <v>0</v>
      </c>
      <c r="AK16" s="179">
        <v>0</v>
      </c>
      <c r="AL16" s="179">
        <v>0</v>
      </c>
      <c r="AM16" s="179">
        <v>0</v>
      </c>
      <c r="AN16" s="184"/>
      <c r="AO16" s="178">
        <f>SUM(C16:AM16)</f>
        <v>-367906</v>
      </c>
    </row>
    <row r="17" spans="1:41" ht="12.75" customHeight="1">
      <c r="A17" s="177" t="s">
        <v>373</v>
      </c>
      <c r="B17" s="164"/>
      <c r="C17" s="179">
        <f>SUM(C13:C16)</f>
        <v>16045830</v>
      </c>
      <c r="D17" s="179">
        <f aca="true" t="shared" si="2" ref="D17:AM17">SUM(D13:D16)</f>
        <v>4077407</v>
      </c>
      <c r="E17" s="179">
        <f t="shared" si="2"/>
        <v>5442567</v>
      </c>
      <c r="F17" s="179">
        <f>SUM(F13:F16)</f>
        <v>2323751</v>
      </c>
      <c r="G17" s="179">
        <f t="shared" si="2"/>
        <v>1497752</v>
      </c>
      <c r="H17" s="179">
        <f t="shared" si="2"/>
        <v>2014433</v>
      </c>
      <c r="I17" s="179">
        <f t="shared" si="2"/>
        <v>1735171</v>
      </c>
      <c r="J17" s="179">
        <f t="shared" si="2"/>
        <v>1054947</v>
      </c>
      <c r="K17" s="179">
        <f t="shared" si="2"/>
        <v>640968</v>
      </c>
      <c r="L17" s="179">
        <f t="shared" si="2"/>
        <v>1220121</v>
      </c>
      <c r="M17" s="179">
        <f t="shared" si="2"/>
        <v>1933002</v>
      </c>
      <c r="N17" s="179">
        <f t="shared" si="2"/>
        <v>1021830</v>
      </c>
      <c r="O17" s="179">
        <f t="shared" si="2"/>
        <v>274915</v>
      </c>
      <c r="P17" s="179">
        <f t="shared" si="2"/>
        <v>363670</v>
      </c>
      <c r="Q17" s="179">
        <f t="shared" si="2"/>
        <v>294497</v>
      </c>
      <c r="R17" s="179">
        <f t="shared" si="2"/>
        <v>585200</v>
      </c>
      <c r="S17" s="179">
        <f t="shared" si="2"/>
        <v>528667</v>
      </c>
      <c r="T17" s="179">
        <f t="shared" si="2"/>
        <v>1129139</v>
      </c>
      <c r="U17" s="179">
        <f t="shared" si="2"/>
        <v>751897</v>
      </c>
      <c r="V17" s="179">
        <f t="shared" si="2"/>
        <v>485486</v>
      </c>
      <c r="W17" s="179">
        <f t="shared" si="2"/>
        <v>427579</v>
      </c>
      <c r="X17" s="179">
        <f t="shared" si="2"/>
        <v>474846</v>
      </c>
      <c r="Y17" s="179">
        <f t="shared" si="2"/>
        <v>193233</v>
      </c>
      <c r="Z17" s="179">
        <f t="shared" si="2"/>
        <v>274934</v>
      </c>
      <c r="AA17" s="179">
        <f t="shared" si="2"/>
        <v>95429</v>
      </c>
      <c r="AB17" s="179">
        <f t="shared" si="2"/>
        <v>60777</v>
      </c>
      <c r="AC17" s="179">
        <f t="shared" si="2"/>
        <v>168123</v>
      </c>
      <c r="AD17" s="179">
        <f>SUM(AD13:AD16)</f>
        <v>106070</v>
      </c>
      <c r="AE17" s="179">
        <f t="shared" si="2"/>
        <v>50785</v>
      </c>
      <c r="AF17" s="179">
        <f t="shared" si="2"/>
        <v>146617</v>
      </c>
      <c r="AG17" s="179">
        <f t="shared" si="2"/>
        <v>41143</v>
      </c>
      <c r="AH17" s="179">
        <f t="shared" si="2"/>
        <v>50421</v>
      </c>
      <c r="AI17" s="179">
        <f t="shared" si="2"/>
        <v>42837</v>
      </c>
      <c r="AJ17" s="179">
        <f t="shared" si="2"/>
        <v>60277</v>
      </c>
      <c r="AK17" s="179">
        <f t="shared" si="2"/>
        <v>29062</v>
      </c>
      <c r="AL17" s="179">
        <f t="shared" si="2"/>
        <v>79211</v>
      </c>
      <c r="AM17" s="179">
        <f t="shared" si="2"/>
        <v>198151</v>
      </c>
      <c r="AN17" s="140"/>
      <c r="AO17" s="140">
        <f>SUM(AO13:AO16)</f>
        <v>45920745</v>
      </c>
    </row>
    <row r="18" spans="2:40" ht="13.5" customHeight="1">
      <c r="B18" s="177"/>
      <c r="C18" s="183"/>
      <c r="D18" s="183"/>
      <c r="E18" s="184"/>
      <c r="F18" s="184"/>
      <c r="G18" s="140"/>
      <c r="H18" s="183"/>
      <c r="I18" s="184"/>
      <c r="J18" s="184"/>
      <c r="K18" s="184"/>
      <c r="L18" s="184"/>
      <c r="M18" s="184"/>
      <c r="N18" s="183"/>
      <c r="O18" s="183"/>
      <c r="P18" s="184"/>
      <c r="Q18" s="183"/>
      <c r="R18" s="183"/>
      <c r="S18" s="183"/>
      <c r="T18" s="184"/>
      <c r="U18" s="183"/>
      <c r="V18" s="184"/>
      <c r="W18" s="184"/>
      <c r="X18" s="184"/>
      <c r="Y18" s="184"/>
      <c r="Z18" s="184"/>
      <c r="AA18" s="184"/>
      <c r="AB18" s="183"/>
      <c r="AC18" s="184"/>
      <c r="AD18" s="184"/>
      <c r="AE18" s="184"/>
      <c r="AF18" s="184"/>
      <c r="AG18" s="184"/>
      <c r="AH18" s="184"/>
      <c r="AI18" s="184"/>
      <c r="AJ18" s="184"/>
      <c r="AK18" s="183"/>
      <c r="AL18" s="184"/>
      <c r="AM18" s="184"/>
      <c r="AN18" s="184"/>
    </row>
    <row r="19" spans="1:40" ht="12.75" customHeight="1">
      <c r="A19" s="176" t="s">
        <v>52</v>
      </c>
      <c r="B19" s="176"/>
      <c r="C19" s="183"/>
      <c r="D19" s="183"/>
      <c r="E19" s="184"/>
      <c r="F19" s="184"/>
      <c r="G19" s="140"/>
      <c r="H19" s="183"/>
      <c r="I19" s="184"/>
      <c r="J19" s="184"/>
      <c r="K19" s="184"/>
      <c r="L19" s="184"/>
      <c r="M19" s="184"/>
      <c r="N19" s="183"/>
      <c r="O19" s="183"/>
      <c r="P19" s="184"/>
      <c r="Q19" s="183"/>
      <c r="R19" s="183"/>
      <c r="S19" s="183"/>
      <c r="T19" s="184"/>
      <c r="U19" s="183"/>
      <c r="V19" s="184"/>
      <c r="W19" s="184"/>
      <c r="X19" s="184"/>
      <c r="Y19" s="184"/>
      <c r="Z19" s="184"/>
      <c r="AA19" s="184"/>
      <c r="AB19" s="183"/>
      <c r="AC19" s="184"/>
      <c r="AD19" s="184"/>
      <c r="AE19" s="184"/>
      <c r="AF19" s="184"/>
      <c r="AG19" s="184"/>
      <c r="AH19" s="184"/>
      <c r="AI19" s="184"/>
      <c r="AJ19" s="184"/>
      <c r="AK19" s="183"/>
      <c r="AL19" s="184"/>
      <c r="AM19" s="184"/>
      <c r="AN19" s="184"/>
    </row>
    <row r="20" spans="1:41" ht="12.75" customHeight="1">
      <c r="A20" s="174" t="s">
        <v>53</v>
      </c>
      <c r="B20" s="174"/>
      <c r="C20" s="179">
        <v>0</v>
      </c>
      <c r="D20" s="179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79">
        <v>0</v>
      </c>
      <c r="V20" s="179">
        <v>0</v>
      </c>
      <c r="W20" s="179">
        <v>0</v>
      </c>
      <c r="X20" s="179">
        <v>0</v>
      </c>
      <c r="Y20" s="179">
        <v>0</v>
      </c>
      <c r="Z20" s="179">
        <v>0</v>
      </c>
      <c r="AA20" s="179">
        <v>0</v>
      </c>
      <c r="AB20" s="179">
        <v>0</v>
      </c>
      <c r="AC20" s="179">
        <v>0</v>
      </c>
      <c r="AD20" s="179">
        <v>0</v>
      </c>
      <c r="AE20" s="179">
        <v>0</v>
      </c>
      <c r="AF20" s="179">
        <v>0</v>
      </c>
      <c r="AG20" s="179">
        <v>0</v>
      </c>
      <c r="AH20" s="179">
        <v>0</v>
      </c>
      <c r="AI20" s="179">
        <v>0</v>
      </c>
      <c r="AJ20" s="179">
        <v>0</v>
      </c>
      <c r="AK20" s="179">
        <v>0</v>
      </c>
      <c r="AL20" s="179">
        <v>0</v>
      </c>
      <c r="AM20" s="179">
        <v>0</v>
      </c>
      <c r="AN20" s="184"/>
      <c r="AO20" s="178">
        <f aca="true" t="shared" si="3" ref="AO20:AO28">SUM(C20:AM20)</f>
        <v>0</v>
      </c>
    </row>
    <row r="21" spans="1:41" ht="12.75" customHeight="1">
      <c r="A21" s="174" t="s">
        <v>54</v>
      </c>
      <c r="B21" s="174"/>
      <c r="C21" s="179">
        <v>-1065638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79">
        <v>0</v>
      </c>
      <c r="R21" s="179">
        <v>0</v>
      </c>
      <c r="S21" s="179">
        <v>11</v>
      </c>
      <c r="T21" s="179">
        <v>-75863</v>
      </c>
      <c r="U21" s="179">
        <v>0</v>
      </c>
      <c r="V21" s="179">
        <v>0</v>
      </c>
      <c r="W21" s="179">
        <v>0</v>
      </c>
      <c r="X21" s="179">
        <v>0</v>
      </c>
      <c r="Y21" s="179">
        <v>0</v>
      </c>
      <c r="Z21" s="179">
        <v>0</v>
      </c>
      <c r="AA21" s="179">
        <v>0</v>
      </c>
      <c r="AB21" s="179">
        <v>0</v>
      </c>
      <c r="AC21" s="179">
        <v>0</v>
      </c>
      <c r="AD21" s="179">
        <v>0</v>
      </c>
      <c r="AE21" s="179">
        <v>0</v>
      </c>
      <c r="AF21" s="179">
        <v>0</v>
      </c>
      <c r="AG21" s="179">
        <v>0</v>
      </c>
      <c r="AH21" s="179">
        <v>0</v>
      </c>
      <c r="AI21" s="179">
        <v>0</v>
      </c>
      <c r="AJ21" s="179">
        <v>0</v>
      </c>
      <c r="AK21" s="179">
        <v>0</v>
      </c>
      <c r="AL21" s="179">
        <v>0</v>
      </c>
      <c r="AM21" s="179">
        <v>0</v>
      </c>
      <c r="AN21" s="184"/>
      <c r="AO21" s="178">
        <f t="shared" si="3"/>
        <v>-1141490</v>
      </c>
    </row>
    <row r="22" spans="1:41" ht="12.75" customHeight="1">
      <c r="A22" s="174" t="s">
        <v>55</v>
      </c>
      <c r="B22" s="174"/>
      <c r="C22" s="179">
        <v>0</v>
      </c>
      <c r="D22" s="179">
        <v>700734</v>
      </c>
      <c r="E22" s="179">
        <v>3797612</v>
      </c>
      <c r="F22" s="179">
        <v>989034</v>
      </c>
      <c r="G22" s="179">
        <v>48394</v>
      </c>
      <c r="H22" s="179">
        <v>702269</v>
      </c>
      <c r="I22" s="179">
        <v>1435777</v>
      </c>
      <c r="J22" s="179">
        <v>-204375</v>
      </c>
      <c r="K22" s="179">
        <v>0</v>
      </c>
      <c r="L22" s="179">
        <v>782905</v>
      </c>
      <c r="M22" s="179">
        <v>227</v>
      </c>
      <c r="N22" s="179">
        <v>4718</v>
      </c>
      <c r="O22" s="179">
        <v>80051</v>
      </c>
      <c r="P22" s="179">
        <v>18626</v>
      </c>
      <c r="Q22" s="179">
        <v>6860</v>
      </c>
      <c r="R22" s="179">
        <v>452048</v>
      </c>
      <c r="S22" s="179">
        <v>679643</v>
      </c>
      <c r="T22" s="179">
        <v>0</v>
      </c>
      <c r="U22" s="179">
        <v>11997</v>
      </c>
      <c r="V22" s="179">
        <v>-9676</v>
      </c>
      <c r="W22" s="179">
        <v>387580</v>
      </c>
      <c r="X22" s="179">
        <v>5072</v>
      </c>
      <c r="Y22" s="179">
        <v>0</v>
      </c>
      <c r="Z22" s="179">
        <v>-28659</v>
      </c>
      <c r="AA22" s="179">
        <v>55390</v>
      </c>
      <c r="AB22" s="179">
        <v>3073</v>
      </c>
      <c r="AC22" s="179">
        <v>-275</v>
      </c>
      <c r="AD22" s="179">
        <v>9640</v>
      </c>
      <c r="AE22" s="179">
        <v>9951</v>
      </c>
      <c r="AF22" s="179">
        <v>917</v>
      </c>
      <c r="AG22" s="179">
        <v>-1083</v>
      </c>
      <c r="AH22" s="179">
        <v>6</v>
      </c>
      <c r="AI22" s="179">
        <v>0</v>
      </c>
      <c r="AJ22" s="179">
        <v>0</v>
      </c>
      <c r="AK22" s="179">
        <v>0</v>
      </c>
      <c r="AL22" s="179">
        <v>0</v>
      </c>
      <c r="AM22" s="179">
        <v>0</v>
      </c>
      <c r="AN22" s="184"/>
      <c r="AO22" s="178">
        <f t="shared" si="3"/>
        <v>9938456</v>
      </c>
    </row>
    <row r="23" spans="1:41" ht="12.75" customHeight="1">
      <c r="A23" s="174" t="s">
        <v>56</v>
      </c>
      <c r="B23" s="174"/>
      <c r="C23" s="179">
        <v>0</v>
      </c>
      <c r="D23" s="179">
        <v>1725</v>
      </c>
      <c r="E23" s="179">
        <v>6430</v>
      </c>
      <c r="F23" s="179">
        <v>5842</v>
      </c>
      <c r="G23" s="179">
        <v>0</v>
      </c>
      <c r="H23" s="179">
        <v>167</v>
      </c>
      <c r="I23" s="179">
        <v>0</v>
      </c>
      <c r="J23" s="179">
        <v>0</v>
      </c>
      <c r="K23" s="179">
        <v>0</v>
      </c>
      <c r="L23" s="179">
        <v>312</v>
      </c>
      <c r="M23" s="179">
        <v>0</v>
      </c>
      <c r="N23" s="179">
        <v>0</v>
      </c>
      <c r="O23" s="179">
        <v>10377</v>
      </c>
      <c r="P23" s="179">
        <v>0</v>
      </c>
      <c r="Q23" s="179">
        <v>0</v>
      </c>
      <c r="R23" s="179">
        <v>2794</v>
      </c>
      <c r="S23" s="179">
        <v>0</v>
      </c>
      <c r="T23" s="179">
        <v>0</v>
      </c>
      <c r="U23" s="179">
        <v>0</v>
      </c>
      <c r="V23" s="179">
        <v>0</v>
      </c>
      <c r="W23" s="179">
        <v>0</v>
      </c>
      <c r="X23" s="179">
        <v>0</v>
      </c>
      <c r="Y23" s="179">
        <v>0</v>
      </c>
      <c r="Z23" s="179">
        <v>0</v>
      </c>
      <c r="AA23" s="179">
        <v>347</v>
      </c>
      <c r="AB23" s="179">
        <v>0</v>
      </c>
      <c r="AC23" s="179">
        <v>0</v>
      </c>
      <c r="AD23" s="179">
        <v>0</v>
      </c>
      <c r="AE23" s="179">
        <v>170548</v>
      </c>
      <c r="AF23" s="179">
        <v>0</v>
      </c>
      <c r="AG23" s="179">
        <v>0</v>
      </c>
      <c r="AH23" s="179">
        <v>0</v>
      </c>
      <c r="AI23" s="179">
        <v>0</v>
      </c>
      <c r="AJ23" s="179">
        <v>0</v>
      </c>
      <c r="AK23" s="179">
        <v>0</v>
      </c>
      <c r="AL23" s="179">
        <v>0</v>
      </c>
      <c r="AM23" s="179">
        <v>0</v>
      </c>
      <c r="AN23" s="184"/>
      <c r="AO23" s="178">
        <f t="shared" si="3"/>
        <v>198542</v>
      </c>
    </row>
    <row r="24" spans="1:41" ht="12.75" customHeight="1">
      <c r="A24" s="174" t="s">
        <v>57</v>
      </c>
      <c r="B24" s="174"/>
      <c r="C24" s="179">
        <v>16330816</v>
      </c>
      <c r="D24" s="179">
        <v>16829405</v>
      </c>
      <c r="E24" s="179">
        <v>14596980</v>
      </c>
      <c r="F24" s="179">
        <v>4631142</v>
      </c>
      <c r="G24" s="179">
        <v>2649340</v>
      </c>
      <c r="H24" s="179">
        <v>3703973</v>
      </c>
      <c r="I24" s="179">
        <v>3894515</v>
      </c>
      <c r="J24" s="179">
        <v>2328240</v>
      </c>
      <c r="K24" s="179">
        <v>3611158</v>
      </c>
      <c r="L24" s="179">
        <v>3725240</v>
      </c>
      <c r="M24" s="179">
        <v>3752437</v>
      </c>
      <c r="N24" s="179">
        <v>2682827</v>
      </c>
      <c r="O24" s="179">
        <v>1556829</v>
      </c>
      <c r="P24" s="179">
        <v>2201458</v>
      </c>
      <c r="Q24" s="179">
        <v>1747686</v>
      </c>
      <c r="R24" s="179">
        <v>1070830</v>
      </c>
      <c r="S24" s="179">
        <v>910681</v>
      </c>
      <c r="T24" s="179">
        <v>1095544</v>
      </c>
      <c r="U24" s="179">
        <v>1033221</v>
      </c>
      <c r="V24" s="179">
        <v>1115958</v>
      </c>
      <c r="W24" s="179">
        <v>1023852</v>
      </c>
      <c r="X24" s="179">
        <v>871583</v>
      </c>
      <c r="Y24" s="179">
        <v>386790</v>
      </c>
      <c r="Z24" s="179">
        <v>443947</v>
      </c>
      <c r="AA24" s="179">
        <v>226667</v>
      </c>
      <c r="AB24" s="179">
        <v>183179</v>
      </c>
      <c r="AC24" s="179">
        <v>150686</v>
      </c>
      <c r="AD24" s="179">
        <v>115268</v>
      </c>
      <c r="AE24" s="179">
        <v>0</v>
      </c>
      <c r="AF24" s="179">
        <v>91800</v>
      </c>
      <c r="AG24" s="179">
        <v>113404</v>
      </c>
      <c r="AH24" s="179">
        <v>41327</v>
      </c>
      <c r="AI24" s="179">
        <v>46632</v>
      </c>
      <c r="AJ24" s="179">
        <v>32474</v>
      </c>
      <c r="AK24" s="179">
        <v>18837</v>
      </c>
      <c r="AL24" s="179">
        <v>6697</v>
      </c>
      <c r="AM24" s="179">
        <v>3565</v>
      </c>
      <c r="AN24" s="184"/>
      <c r="AO24" s="178">
        <f t="shared" si="3"/>
        <v>93224988</v>
      </c>
    </row>
    <row r="25" spans="1:41" ht="12.75" customHeight="1">
      <c r="A25" s="174" t="s">
        <v>58</v>
      </c>
      <c r="B25" s="174"/>
      <c r="C25" s="179">
        <v>0</v>
      </c>
      <c r="D25" s="179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-329617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79">
        <v>0</v>
      </c>
      <c r="V25" s="179">
        <v>0</v>
      </c>
      <c r="W25" s="179">
        <v>0</v>
      </c>
      <c r="X25" s="179">
        <v>0</v>
      </c>
      <c r="Y25" s="179">
        <v>0</v>
      </c>
      <c r="Z25" s="179">
        <v>0</v>
      </c>
      <c r="AA25" s="179">
        <v>5252</v>
      </c>
      <c r="AB25" s="179">
        <v>0</v>
      </c>
      <c r="AC25" s="179">
        <v>0</v>
      </c>
      <c r="AD25" s="179">
        <v>-665</v>
      </c>
      <c r="AE25" s="179">
        <v>0</v>
      </c>
      <c r="AF25" s="179">
        <v>0</v>
      </c>
      <c r="AG25" s="179">
        <v>0</v>
      </c>
      <c r="AH25" s="179">
        <v>0</v>
      </c>
      <c r="AI25" s="179">
        <v>0</v>
      </c>
      <c r="AJ25" s="179">
        <v>0</v>
      </c>
      <c r="AK25" s="179">
        <v>0</v>
      </c>
      <c r="AL25" s="179">
        <v>0</v>
      </c>
      <c r="AM25" s="179">
        <v>60</v>
      </c>
      <c r="AN25" s="184"/>
      <c r="AO25" s="178">
        <f t="shared" si="3"/>
        <v>-324970</v>
      </c>
    </row>
    <row r="26" spans="1:41" ht="12.75" customHeight="1">
      <c r="A26" s="174" t="s">
        <v>59</v>
      </c>
      <c r="B26" s="174"/>
      <c r="C26" s="179">
        <v>0</v>
      </c>
      <c r="D26" s="179">
        <v>0</v>
      </c>
      <c r="E26" s="179">
        <v>0</v>
      </c>
      <c r="F26" s="179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79">
        <v>0</v>
      </c>
      <c r="R26" s="179">
        <v>0</v>
      </c>
      <c r="S26" s="179">
        <v>0</v>
      </c>
      <c r="T26" s="179">
        <v>0</v>
      </c>
      <c r="U26" s="179">
        <v>0</v>
      </c>
      <c r="V26" s="179">
        <v>0</v>
      </c>
      <c r="W26" s="179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9">
        <v>0</v>
      </c>
      <c r="AD26" s="179">
        <v>0</v>
      </c>
      <c r="AE26" s="179">
        <v>0</v>
      </c>
      <c r="AF26" s="179">
        <v>0</v>
      </c>
      <c r="AG26" s="179">
        <v>0</v>
      </c>
      <c r="AH26" s="179">
        <v>0</v>
      </c>
      <c r="AI26" s="179">
        <v>0</v>
      </c>
      <c r="AJ26" s="179">
        <v>0</v>
      </c>
      <c r="AK26" s="179">
        <v>0</v>
      </c>
      <c r="AL26" s="179">
        <v>0</v>
      </c>
      <c r="AM26" s="179">
        <v>0</v>
      </c>
      <c r="AN26" s="184"/>
      <c r="AO26" s="178">
        <f t="shared" si="3"/>
        <v>0</v>
      </c>
    </row>
    <row r="27" spans="1:41" ht="12.75" customHeight="1">
      <c r="A27" s="174" t="s">
        <v>60</v>
      </c>
      <c r="B27" s="174"/>
      <c r="C27" s="179">
        <v>-14050</v>
      </c>
      <c r="D27" s="179">
        <v>-18400</v>
      </c>
      <c r="E27" s="179">
        <v>0</v>
      </c>
      <c r="F27" s="179">
        <v>-2629</v>
      </c>
      <c r="G27" s="179">
        <v>0</v>
      </c>
      <c r="H27" s="179">
        <v>-33989</v>
      </c>
      <c r="I27" s="179">
        <v>-12677</v>
      </c>
      <c r="J27" s="179">
        <v>0</v>
      </c>
      <c r="K27" s="179">
        <v>-18000</v>
      </c>
      <c r="L27" s="179">
        <v>-4034</v>
      </c>
      <c r="M27" s="179">
        <v>0</v>
      </c>
      <c r="N27" s="179">
        <v>0</v>
      </c>
      <c r="O27" s="179">
        <v>0</v>
      </c>
      <c r="P27" s="179">
        <v>0</v>
      </c>
      <c r="Q27" s="179">
        <v>0</v>
      </c>
      <c r="R27" s="179">
        <v>-37104</v>
      </c>
      <c r="S27" s="179">
        <v>0</v>
      </c>
      <c r="T27" s="179">
        <v>-740</v>
      </c>
      <c r="U27" s="179">
        <v>-29</v>
      </c>
      <c r="V27" s="179">
        <v>0</v>
      </c>
      <c r="W27" s="179">
        <v>0</v>
      </c>
      <c r="X27" s="179">
        <v>-2393</v>
      </c>
      <c r="Y27" s="179">
        <v>0</v>
      </c>
      <c r="Z27" s="179">
        <v>-241</v>
      </c>
      <c r="AA27" s="179">
        <v>-2320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-725</v>
      </c>
      <c r="AK27" s="179">
        <v>0</v>
      </c>
      <c r="AL27" s="179">
        <v>0</v>
      </c>
      <c r="AM27" s="179">
        <v>0</v>
      </c>
      <c r="AN27" s="184"/>
      <c r="AO27" s="178">
        <f t="shared" si="3"/>
        <v>-147331</v>
      </c>
    </row>
    <row r="28" spans="1:41" ht="12.75" customHeight="1">
      <c r="A28" s="174" t="s">
        <v>61</v>
      </c>
      <c r="B28" s="174"/>
      <c r="C28" s="179">
        <v>0</v>
      </c>
      <c r="D28" s="179">
        <v>0</v>
      </c>
      <c r="E28" s="179">
        <v>0</v>
      </c>
      <c r="F28" s="179">
        <v>0</v>
      </c>
      <c r="G28" s="179">
        <v>0</v>
      </c>
      <c r="H28" s="179">
        <v>446408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79">
        <v>0</v>
      </c>
      <c r="R28" s="179">
        <v>0</v>
      </c>
      <c r="S28" s="179">
        <v>0</v>
      </c>
      <c r="T28" s="179">
        <v>0</v>
      </c>
      <c r="U28" s="179">
        <v>0</v>
      </c>
      <c r="V28" s="179">
        <v>0</v>
      </c>
      <c r="W28" s="179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9">
        <v>0</v>
      </c>
      <c r="AD28" s="179">
        <v>0</v>
      </c>
      <c r="AE28" s="179">
        <v>0</v>
      </c>
      <c r="AF28" s="179">
        <v>0</v>
      </c>
      <c r="AG28" s="179">
        <v>0</v>
      </c>
      <c r="AH28" s="179">
        <v>0</v>
      </c>
      <c r="AI28" s="179">
        <v>0</v>
      </c>
      <c r="AJ28" s="179">
        <v>0</v>
      </c>
      <c r="AK28" s="179">
        <v>0</v>
      </c>
      <c r="AL28" s="179">
        <v>0</v>
      </c>
      <c r="AM28" s="179">
        <v>0</v>
      </c>
      <c r="AN28" s="184"/>
      <c r="AO28" s="178">
        <f t="shared" si="3"/>
        <v>446408</v>
      </c>
    </row>
    <row r="29" spans="1:41" ht="12.75" customHeight="1">
      <c r="A29" s="177" t="s">
        <v>374</v>
      </c>
      <c r="B29" s="164"/>
      <c r="C29" s="179">
        <f>SUM(C20:C28)</f>
        <v>15251128</v>
      </c>
      <c r="D29" s="179">
        <f aca="true" t="shared" si="4" ref="D29:AM29">SUM(D20:D28)</f>
        <v>17513464</v>
      </c>
      <c r="E29" s="179">
        <f t="shared" si="4"/>
        <v>18401022</v>
      </c>
      <c r="F29" s="179">
        <f>SUM(F20:F28)</f>
        <v>5623389</v>
      </c>
      <c r="G29" s="179">
        <f t="shared" si="4"/>
        <v>2697734</v>
      </c>
      <c r="H29" s="179">
        <f t="shared" si="4"/>
        <v>4818828</v>
      </c>
      <c r="I29" s="179">
        <f t="shared" si="4"/>
        <v>5317615</v>
      </c>
      <c r="J29" s="179">
        <f t="shared" si="4"/>
        <v>2123865</v>
      </c>
      <c r="K29" s="179">
        <f t="shared" si="4"/>
        <v>3263541</v>
      </c>
      <c r="L29" s="179">
        <f t="shared" si="4"/>
        <v>4504423</v>
      </c>
      <c r="M29" s="179">
        <f t="shared" si="4"/>
        <v>3752664</v>
      </c>
      <c r="N29" s="179">
        <f t="shared" si="4"/>
        <v>2687545</v>
      </c>
      <c r="O29" s="179">
        <f t="shared" si="4"/>
        <v>1647257</v>
      </c>
      <c r="P29" s="179">
        <f t="shared" si="4"/>
        <v>2220084</v>
      </c>
      <c r="Q29" s="179">
        <f t="shared" si="4"/>
        <v>1754546</v>
      </c>
      <c r="R29" s="179">
        <f t="shared" si="4"/>
        <v>1488568</v>
      </c>
      <c r="S29" s="179">
        <f t="shared" si="4"/>
        <v>1590335</v>
      </c>
      <c r="T29" s="179">
        <f t="shared" si="4"/>
        <v>1018941</v>
      </c>
      <c r="U29" s="179">
        <f t="shared" si="4"/>
        <v>1045189</v>
      </c>
      <c r="V29" s="179">
        <f t="shared" si="4"/>
        <v>1106282</v>
      </c>
      <c r="W29" s="179">
        <f t="shared" si="4"/>
        <v>1411432</v>
      </c>
      <c r="X29" s="179">
        <f t="shared" si="4"/>
        <v>874262</v>
      </c>
      <c r="Y29" s="179">
        <f t="shared" si="4"/>
        <v>386790</v>
      </c>
      <c r="Z29" s="179">
        <f t="shared" si="4"/>
        <v>415047</v>
      </c>
      <c r="AA29" s="179">
        <f t="shared" si="4"/>
        <v>285336</v>
      </c>
      <c r="AB29" s="179">
        <f t="shared" si="4"/>
        <v>186252</v>
      </c>
      <c r="AC29" s="179">
        <f t="shared" si="4"/>
        <v>150411</v>
      </c>
      <c r="AD29" s="179">
        <f>SUM(AD20:AD28)</f>
        <v>124243</v>
      </c>
      <c r="AE29" s="179">
        <f t="shared" si="4"/>
        <v>180499</v>
      </c>
      <c r="AF29" s="179">
        <f t="shared" si="4"/>
        <v>92717</v>
      </c>
      <c r="AG29" s="179">
        <f t="shared" si="4"/>
        <v>112321</v>
      </c>
      <c r="AH29" s="179">
        <f t="shared" si="4"/>
        <v>41333</v>
      </c>
      <c r="AI29" s="179">
        <f t="shared" si="4"/>
        <v>46632</v>
      </c>
      <c r="AJ29" s="179">
        <f t="shared" si="4"/>
        <v>31749</v>
      </c>
      <c r="AK29" s="179">
        <f t="shared" si="4"/>
        <v>18837</v>
      </c>
      <c r="AL29" s="179">
        <f t="shared" si="4"/>
        <v>6697</v>
      </c>
      <c r="AM29" s="179">
        <f t="shared" si="4"/>
        <v>3625</v>
      </c>
      <c r="AN29" s="140"/>
      <c r="AO29" s="140">
        <f>SUM(AO20:AO28)</f>
        <v>102194603</v>
      </c>
    </row>
    <row r="30" spans="2:40" ht="12.75" customHeight="1">
      <c r="B30" s="177"/>
      <c r="C30" s="183"/>
      <c r="D30" s="183"/>
      <c r="E30" s="184"/>
      <c r="F30" s="184"/>
      <c r="G30" s="140"/>
      <c r="H30" s="183"/>
      <c r="I30" s="184"/>
      <c r="J30" s="184"/>
      <c r="K30" s="184"/>
      <c r="L30" s="184"/>
      <c r="M30" s="184"/>
      <c r="N30" s="183"/>
      <c r="O30" s="183"/>
      <c r="P30" s="184"/>
      <c r="Q30" s="183"/>
      <c r="R30" s="183"/>
      <c r="S30" s="183"/>
      <c r="T30" s="184"/>
      <c r="U30" s="183"/>
      <c r="V30" s="184"/>
      <c r="W30" s="184"/>
      <c r="X30" s="184"/>
      <c r="Y30" s="184"/>
      <c r="Z30" s="184"/>
      <c r="AA30" s="184"/>
      <c r="AB30" s="183"/>
      <c r="AC30" s="184"/>
      <c r="AD30" s="184"/>
      <c r="AE30" s="184"/>
      <c r="AF30" s="184"/>
      <c r="AG30" s="183"/>
      <c r="AH30" s="184"/>
      <c r="AI30" s="184"/>
      <c r="AJ30" s="184"/>
      <c r="AK30" s="183"/>
      <c r="AL30" s="184"/>
      <c r="AM30" s="184"/>
      <c r="AN30" s="184"/>
    </row>
    <row r="31" spans="1:40" ht="12.75" customHeight="1">
      <c r="A31" s="176" t="s">
        <v>63</v>
      </c>
      <c r="B31" s="176"/>
      <c r="C31" s="183"/>
      <c r="D31" s="183"/>
      <c r="E31" s="184"/>
      <c r="F31" s="184"/>
      <c r="G31" s="140"/>
      <c r="H31" s="183"/>
      <c r="I31" s="184"/>
      <c r="J31" s="184"/>
      <c r="K31" s="184"/>
      <c r="L31" s="184"/>
      <c r="M31" s="184"/>
      <c r="N31" s="183"/>
      <c r="O31" s="183"/>
      <c r="P31" s="184"/>
      <c r="Q31" s="183"/>
      <c r="R31" s="183"/>
      <c r="S31" s="183"/>
      <c r="T31" s="184"/>
      <c r="U31" s="183"/>
      <c r="V31" s="184"/>
      <c r="W31" s="184"/>
      <c r="X31" s="184"/>
      <c r="Y31" s="184"/>
      <c r="Z31" s="184"/>
      <c r="AA31" s="184"/>
      <c r="AB31" s="183"/>
      <c r="AC31" s="184"/>
      <c r="AD31" s="184"/>
      <c r="AE31" s="184"/>
      <c r="AF31" s="184"/>
      <c r="AG31" s="183"/>
      <c r="AH31" s="184"/>
      <c r="AI31" s="184"/>
      <c r="AJ31" s="184"/>
      <c r="AK31" s="183"/>
      <c r="AL31" s="184"/>
      <c r="AM31" s="184"/>
      <c r="AN31" s="184"/>
    </row>
    <row r="32" spans="1:41" ht="12.75" customHeight="1">
      <c r="A32" s="174" t="s">
        <v>64</v>
      </c>
      <c r="B32" s="174"/>
      <c r="C32" s="179">
        <v>171501</v>
      </c>
      <c r="D32" s="179">
        <v>221211</v>
      </c>
      <c r="E32" s="179">
        <v>125233</v>
      </c>
      <c r="F32" s="179">
        <v>118781</v>
      </c>
      <c r="G32" s="179">
        <v>60450</v>
      </c>
      <c r="H32" s="179">
        <v>59286</v>
      </c>
      <c r="I32" s="179">
        <v>68886</v>
      </c>
      <c r="J32" s="179">
        <v>95530</v>
      </c>
      <c r="K32" s="179">
        <v>43523</v>
      </c>
      <c r="L32" s="179">
        <v>52107</v>
      </c>
      <c r="M32" s="179">
        <v>14372</v>
      </c>
      <c r="N32" s="179">
        <v>11457</v>
      </c>
      <c r="O32" s="179">
        <v>33107</v>
      </c>
      <c r="P32" s="179">
        <v>48169</v>
      </c>
      <c r="Q32" s="179">
        <v>13392</v>
      </c>
      <c r="R32" s="179">
        <v>11649</v>
      </c>
      <c r="S32" s="179">
        <v>16653</v>
      </c>
      <c r="T32" s="179">
        <v>15830</v>
      </c>
      <c r="U32" s="179">
        <v>13925</v>
      </c>
      <c r="V32" s="179">
        <v>6436</v>
      </c>
      <c r="W32" s="179">
        <v>0</v>
      </c>
      <c r="X32" s="179">
        <v>9111</v>
      </c>
      <c r="Y32" s="179">
        <v>8077</v>
      </c>
      <c r="Z32" s="179">
        <v>4275</v>
      </c>
      <c r="AA32" s="179">
        <v>7596</v>
      </c>
      <c r="AB32" s="179">
        <v>3748</v>
      </c>
      <c r="AC32" s="179">
        <v>2427</v>
      </c>
      <c r="AD32" s="179">
        <v>7122</v>
      </c>
      <c r="AE32" s="179">
        <v>1688</v>
      </c>
      <c r="AF32" s="179">
        <v>1000</v>
      </c>
      <c r="AG32" s="179">
        <v>227</v>
      </c>
      <c r="AH32" s="179">
        <v>0</v>
      </c>
      <c r="AI32" s="179">
        <v>546</v>
      </c>
      <c r="AJ32" s="179">
        <v>1854</v>
      </c>
      <c r="AK32" s="179">
        <v>0</v>
      </c>
      <c r="AL32" s="179">
        <v>0</v>
      </c>
      <c r="AM32" s="179">
        <v>0</v>
      </c>
      <c r="AN32" s="184"/>
      <c r="AO32" s="178">
        <f>SUM(C32:AM32)</f>
        <v>1249169</v>
      </c>
    </row>
    <row r="33" spans="1:41" ht="12.75" customHeight="1">
      <c r="A33" s="174" t="s">
        <v>65</v>
      </c>
      <c r="B33" s="174"/>
      <c r="C33" s="179">
        <v>0</v>
      </c>
      <c r="D33" s="179">
        <v>0</v>
      </c>
      <c r="E33" s="179">
        <v>0</v>
      </c>
      <c r="F33" s="179">
        <v>0</v>
      </c>
      <c r="G33" s="179">
        <v>7747</v>
      </c>
      <c r="H33" s="179">
        <v>0</v>
      </c>
      <c r="I33" s="179">
        <v>0</v>
      </c>
      <c r="J33" s="179">
        <v>0</v>
      </c>
      <c r="K33" s="179">
        <v>3439</v>
      </c>
      <c r="L33" s="179">
        <v>0</v>
      </c>
      <c r="M33" s="179">
        <v>0</v>
      </c>
      <c r="N33" s="179">
        <v>0</v>
      </c>
      <c r="O33" s="179">
        <v>0</v>
      </c>
      <c r="P33" s="179">
        <v>9877</v>
      </c>
      <c r="Q33" s="179">
        <v>0</v>
      </c>
      <c r="R33" s="179">
        <v>213</v>
      </c>
      <c r="S33" s="179">
        <v>0</v>
      </c>
      <c r="T33" s="179">
        <v>0</v>
      </c>
      <c r="U33" s="179">
        <v>111</v>
      </c>
      <c r="V33" s="179">
        <v>285</v>
      </c>
      <c r="W33" s="179">
        <v>0</v>
      </c>
      <c r="X33" s="179">
        <v>245</v>
      </c>
      <c r="Y33" s="179">
        <v>0</v>
      </c>
      <c r="Z33" s="179">
        <v>0</v>
      </c>
      <c r="AA33" s="179">
        <v>0</v>
      </c>
      <c r="AB33" s="179">
        <v>786</v>
      </c>
      <c r="AC33" s="179">
        <v>0</v>
      </c>
      <c r="AD33" s="179">
        <v>0</v>
      </c>
      <c r="AE33" s="179">
        <v>0</v>
      </c>
      <c r="AF33" s="179">
        <v>10</v>
      </c>
      <c r="AG33" s="179">
        <v>0</v>
      </c>
      <c r="AH33" s="179">
        <v>0</v>
      </c>
      <c r="AI33" s="179">
        <v>0</v>
      </c>
      <c r="AJ33" s="179">
        <v>0</v>
      </c>
      <c r="AK33" s="179">
        <v>108</v>
      </c>
      <c r="AL33" s="179">
        <v>1934</v>
      </c>
      <c r="AM33" s="179">
        <v>8</v>
      </c>
      <c r="AN33" s="184"/>
      <c r="AO33" s="178">
        <f>SUM(C33:AM33)</f>
        <v>24763</v>
      </c>
    </row>
    <row r="34" spans="1:41" ht="12.75" customHeight="1">
      <c r="A34" s="174" t="s">
        <v>66</v>
      </c>
      <c r="B34" s="174"/>
      <c r="C34" s="179">
        <v>0</v>
      </c>
      <c r="D34" s="179">
        <v>0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0</v>
      </c>
      <c r="Q34" s="179">
        <v>0</v>
      </c>
      <c r="R34" s="179">
        <v>0</v>
      </c>
      <c r="S34" s="179">
        <v>0</v>
      </c>
      <c r="T34" s="179">
        <v>0</v>
      </c>
      <c r="U34" s="179">
        <v>0</v>
      </c>
      <c r="V34" s="179">
        <v>0</v>
      </c>
      <c r="W34" s="179">
        <v>0</v>
      </c>
      <c r="X34" s="179">
        <v>0</v>
      </c>
      <c r="Y34" s="179">
        <v>0</v>
      </c>
      <c r="Z34" s="179">
        <v>0</v>
      </c>
      <c r="AA34" s="179">
        <v>0</v>
      </c>
      <c r="AB34" s="179">
        <v>0</v>
      </c>
      <c r="AC34" s="179">
        <v>14676</v>
      </c>
      <c r="AD34" s="179">
        <v>0</v>
      </c>
      <c r="AE34" s="179">
        <v>0</v>
      </c>
      <c r="AF34" s="179">
        <v>0</v>
      </c>
      <c r="AG34" s="179">
        <v>0</v>
      </c>
      <c r="AH34" s="179">
        <v>0</v>
      </c>
      <c r="AI34" s="179">
        <v>0</v>
      </c>
      <c r="AJ34" s="179">
        <v>0</v>
      </c>
      <c r="AK34" s="179">
        <v>4</v>
      </c>
      <c r="AL34" s="179">
        <v>0</v>
      </c>
      <c r="AM34" s="179">
        <v>0</v>
      </c>
      <c r="AN34" s="184"/>
      <c r="AO34" s="178">
        <f>SUM(C34:AM34)</f>
        <v>14680</v>
      </c>
    </row>
    <row r="35" spans="1:41" ht="12.75" customHeight="1">
      <c r="A35" s="174" t="s">
        <v>67</v>
      </c>
      <c r="B35" s="174"/>
      <c r="C35" s="179">
        <v>0</v>
      </c>
      <c r="D35" s="179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79">
        <v>0</v>
      </c>
      <c r="V35" s="179">
        <v>0</v>
      </c>
      <c r="W35" s="179">
        <v>0</v>
      </c>
      <c r="X35" s="179">
        <v>0</v>
      </c>
      <c r="Y35" s="179">
        <v>0</v>
      </c>
      <c r="Z35" s="179">
        <v>0</v>
      </c>
      <c r="AA35" s="179">
        <v>0</v>
      </c>
      <c r="AB35" s="179">
        <v>0</v>
      </c>
      <c r="AC35" s="179">
        <v>6932</v>
      </c>
      <c r="AD35" s="179">
        <v>0</v>
      </c>
      <c r="AE35" s="179">
        <v>0</v>
      </c>
      <c r="AF35" s="179">
        <v>0</v>
      </c>
      <c r="AG35" s="179">
        <v>0</v>
      </c>
      <c r="AH35" s="179">
        <v>0</v>
      </c>
      <c r="AI35" s="179">
        <v>0</v>
      </c>
      <c r="AJ35" s="179">
        <v>0</v>
      </c>
      <c r="AK35" s="179">
        <v>0</v>
      </c>
      <c r="AL35" s="179">
        <v>38</v>
      </c>
      <c r="AM35" s="179">
        <v>0</v>
      </c>
      <c r="AN35" s="184"/>
      <c r="AO35" s="178">
        <f>SUM(C35:AM35)</f>
        <v>6970</v>
      </c>
    </row>
    <row r="36" spans="1:41" ht="12.75" customHeight="1">
      <c r="A36" s="174" t="s">
        <v>68</v>
      </c>
      <c r="B36" s="174"/>
      <c r="C36" s="179">
        <v>321226</v>
      </c>
      <c r="D36" s="179">
        <v>0</v>
      </c>
      <c r="E36" s="179">
        <v>0</v>
      </c>
      <c r="F36" s="179">
        <v>0</v>
      </c>
      <c r="G36" s="179">
        <v>0</v>
      </c>
      <c r="H36" s="179">
        <v>0</v>
      </c>
      <c r="I36" s="179">
        <v>0</v>
      </c>
      <c r="J36" s="179">
        <v>105789</v>
      </c>
      <c r="K36" s="179">
        <v>0</v>
      </c>
      <c r="L36" s="179">
        <v>14901</v>
      </c>
      <c r="M36" s="179">
        <v>0</v>
      </c>
      <c r="N36" s="179">
        <v>88486</v>
      </c>
      <c r="O36" s="179">
        <v>76050</v>
      </c>
      <c r="P36" s="179">
        <v>0</v>
      </c>
      <c r="Q36" s="179">
        <v>8075</v>
      </c>
      <c r="R36" s="179">
        <v>0</v>
      </c>
      <c r="S36" s="179">
        <v>8665</v>
      </c>
      <c r="T36" s="179">
        <v>27052</v>
      </c>
      <c r="U36" s="179">
        <v>14110</v>
      </c>
      <c r="V36" s="179">
        <v>13126</v>
      </c>
      <c r="W36" s="179">
        <v>0</v>
      </c>
      <c r="X36" s="179">
        <v>2511</v>
      </c>
      <c r="Y36" s="179">
        <v>0</v>
      </c>
      <c r="Z36" s="179">
        <v>0</v>
      </c>
      <c r="AA36" s="179">
        <v>1012</v>
      </c>
      <c r="AB36" s="179">
        <v>1994</v>
      </c>
      <c r="AC36" s="179">
        <v>0</v>
      </c>
      <c r="AD36" s="179">
        <v>0</v>
      </c>
      <c r="AE36" s="179">
        <v>38</v>
      </c>
      <c r="AF36" s="179">
        <v>5704</v>
      </c>
      <c r="AG36" s="179">
        <v>0</v>
      </c>
      <c r="AH36" s="179">
        <v>0</v>
      </c>
      <c r="AI36" s="179">
        <v>0</v>
      </c>
      <c r="AJ36" s="179">
        <v>0</v>
      </c>
      <c r="AK36" s="179">
        <v>0</v>
      </c>
      <c r="AL36" s="179">
        <v>0</v>
      </c>
      <c r="AM36" s="179">
        <v>0</v>
      </c>
      <c r="AN36" s="184"/>
      <c r="AO36" s="178">
        <f>SUM(C36:AM36)</f>
        <v>688739</v>
      </c>
    </row>
    <row r="37" spans="1:41" ht="12.75" customHeight="1">
      <c r="A37" s="177" t="s">
        <v>375</v>
      </c>
      <c r="B37" s="164"/>
      <c r="C37" s="179">
        <f>SUM(C32:C36)</f>
        <v>492727</v>
      </c>
      <c r="D37" s="179">
        <f aca="true" t="shared" si="5" ref="D37:AM37">SUM(D32:D36)</f>
        <v>221211</v>
      </c>
      <c r="E37" s="179">
        <f t="shared" si="5"/>
        <v>125233</v>
      </c>
      <c r="F37" s="179">
        <f>SUM(F32:F36)</f>
        <v>118781</v>
      </c>
      <c r="G37" s="179">
        <f t="shared" si="5"/>
        <v>68197</v>
      </c>
      <c r="H37" s="179">
        <f t="shared" si="5"/>
        <v>59286</v>
      </c>
      <c r="I37" s="179">
        <f t="shared" si="5"/>
        <v>68886</v>
      </c>
      <c r="J37" s="179">
        <f t="shared" si="5"/>
        <v>201319</v>
      </c>
      <c r="K37" s="179">
        <f t="shared" si="5"/>
        <v>46962</v>
      </c>
      <c r="L37" s="179">
        <f t="shared" si="5"/>
        <v>67008</v>
      </c>
      <c r="M37" s="179">
        <f t="shared" si="5"/>
        <v>14372</v>
      </c>
      <c r="N37" s="179">
        <f t="shared" si="5"/>
        <v>99943</v>
      </c>
      <c r="O37" s="179">
        <f t="shared" si="5"/>
        <v>109157</v>
      </c>
      <c r="P37" s="179">
        <f t="shared" si="5"/>
        <v>58046</v>
      </c>
      <c r="Q37" s="179">
        <f t="shared" si="5"/>
        <v>21467</v>
      </c>
      <c r="R37" s="179">
        <f t="shared" si="5"/>
        <v>11862</v>
      </c>
      <c r="S37" s="179">
        <f t="shared" si="5"/>
        <v>25318</v>
      </c>
      <c r="T37" s="179">
        <f t="shared" si="5"/>
        <v>42882</v>
      </c>
      <c r="U37" s="179">
        <f t="shared" si="5"/>
        <v>28146</v>
      </c>
      <c r="V37" s="179">
        <f t="shared" si="5"/>
        <v>19847</v>
      </c>
      <c r="W37" s="179">
        <f t="shared" si="5"/>
        <v>0</v>
      </c>
      <c r="X37" s="179">
        <f t="shared" si="5"/>
        <v>11867</v>
      </c>
      <c r="Y37" s="179">
        <f t="shared" si="5"/>
        <v>8077</v>
      </c>
      <c r="Z37" s="179">
        <f t="shared" si="5"/>
        <v>4275</v>
      </c>
      <c r="AA37" s="179">
        <f t="shared" si="5"/>
        <v>8608</v>
      </c>
      <c r="AB37" s="179">
        <f t="shared" si="5"/>
        <v>6528</v>
      </c>
      <c r="AC37" s="179">
        <f t="shared" si="5"/>
        <v>24035</v>
      </c>
      <c r="AD37" s="179">
        <f>SUM(AD32:AD36)</f>
        <v>7122</v>
      </c>
      <c r="AE37" s="179">
        <f t="shared" si="5"/>
        <v>1726</v>
      </c>
      <c r="AF37" s="179">
        <f t="shared" si="5"/>
        <v>6714</v>
      </c>
      <c r="AG37" s="179">
        <f t="shared" si="5"/>
        <v>227</v>
      </c>
      <c r="AH37" s="179">
        <f t="shared" si="5"/>
        <v>0</v>
      </c>
      <c r="AI37" s="179">
        <f t="shared" si="5"/>
        <v>546</v>
      </c>
      <c r="AJ37" s="179">
        <f t="shared" si="5"/>
        <v>1854</v>
      </c>
      <c r="AK37" s="179">
        <f t="shared" si="5"/>
        <v>112</v>
      </c>
      <c r="AL37" s="179">
        <f t="shared" si="5"/>
        <v>1972</v>
      </c>
      <c r="AM37" s="179">
        <f t="shared" si="5"/>
        <v>8</v>
      </c>
      <c r="AN37" s="140"/>
      <c r="AO37" s="140">
        <f>SUM(AO32:AO36)</f>
        <v>1984321</v>
      </c>
    </row>
    <row r="38" spans="2:40" ht="12.75" customHeight="1">
      <c r="B38" s="177"/>
      <c r="C38" s="183"/>
      <c r="D38" s="183"/>
      <c r="E38" s="184"/>
      <c r="F38" s="184"/>
      <c r="G38" s="140"/>
      <c r="H38" s="183"/>
      <c r="I38" s="184"/>
      <c r="J38" s="184"/>
      <c r="K38" s="184"/>
      <c r="L38" s="184"/>
      <c r="M38" s="184"/>
      <c r="N38" s="183"/>
      <c r="O38" s="183"/>
      <c r="P38" s="184"/>
      <c r="Q38" s="183"/>
      <c r="R38" s="183"/>
      <c r="S38" s="183"/>
      <c r="T38" s="183"/>
      <c r="U38" s="183"/>
      <c r="V38" s="183"/>
      <c r="W38" s="183"/>
      <c r="X38" s="183"/>
      <c r="Y38" s="184"/>
      <c r="Z38" s="184"/>
      <c r="AA38" s="183"/>
      <c r="AB38" s="183"/>
      <c r="AC38" s="184"/>
      <c r="AD38" s="184"/>
      <c r="AE38" s="183"/>
      <c r="AF38" s="183"/>
      <c r="AG38" s="184"/>
      <c r="AH38" s="184"/>
      <c r="AI38" s="184"/>
      <c r="AJ38" s="184"/>
      <c r="AK38" s="183"/>
      <c r="AL38" s="184"/>
      <c r="AM38" s="184"/>
      <c r="AN38" s="184"/>
    </row>
    <row r="39" spans="1:40" ht="12.75" customHeight="1">
      <c r="A39" s="176" t="s">
        <v>70</v>
      </c>
      <c r="B39" s="176"/>
      <c r="C39" s="183"/>
      <c r="D39" s="183"/>
      <c r="E39" s="184"/>
      <c r="F39" s="184"/>
      <c r="G39" s="140"/>
      <c r="H39" s="183"/>
      <c r="I39" s="184"/>
      <c r="J39" s="184"/>
      <c r="K39" s="184"/>
      <c r="L39" s="184"/>
      <c r="M39" s="184"/>
      <c r="N39" s="183"/>
      <c r="O39" s="183"/>
      <c r="P39" s="184"/>
      <c r="Q39" s="183"/>
      <c r="R39" s="183"/>
      <c r="S39" s="183"/>
      <c r="T39" s="183"/>
      <c r="U39" s="183"/>
      <c r="V39" s="183"/>
      <c r="W39" s="183"/>
      <c r="X39" s="183"/>
      <c r="Y39" s="184"/>
      <c r="Z39" s="184"/>
      <c r="AA39" s="183"/>
      <c r="AB39" s="183"/>
      <c r="AC39" s="184"/>
      <c r="AD39" s="184"/>
      <c r="AE39" s="183"/>
      <c r="AF39" s="183"/>
      <c r="AG39" s="184"/>
      <c r="AH39" s="184"/>
      <c r="AI39" s="184"/>
      <c r="AJ39" s="184"/>
      <c r="AK39" s="183"/>
      <c r="AL39" s="184"/>
      <c r="AM39" s="184"/>
      <c r="AN39" s="184"/>
    </row>
    <row r="40" spans="1:41" ht="12.75" customHeight="1">
      <c r="A40" s="174" t="s">
        <v>64</v>
      </c>
      <c r="B40" s="174"/>
      <c r="C40" s="179">
        <v>248404</v>
      </c>
      <c r="D40" s="179">
        <v>203215</v>
      </c>
      <c r="E40" s="179">
        <v>242517</v>
      </c>
      <c r="F40" s="179">
        <v>118565</v>
      </c>
      <c r="G40" s="179">
        <v>83406</v>
      </c>
      <c r="H40" s="179">
        <v>56818</v>
      </c>
      <c r="I40" s="179">
        <v>84533</v>
      </c>
      <c r="J40" s="179">
        <v>88527</v>
      </c>
      <c r="K40" s="179">
        <v>87481</v>
      </c>
      <c r="L40" s="179">
        <v>73452</v>
      </c>
      <c r="M40" s="179">
        <v>43116</v>
      </c>
      <c r="N40" s="179">
        <v>28781</v>
      </c>
      <c r="O40" s="179">
        <v>45391</v>
      </c>
      <c r="P40" s="179">
        <v>105007</v>
      </c>
      <c r="Q40" s="179">
        <v>53570</v>
      </c>
      <c r="R40" s="179">
        <v>55660</v>
      </c>
      <c r="S40" s="179">
        <v>28427</v>
      </c>
      <c r="T40" s="179">
        <v>21765</v>
      </c>
      <c r="U40" s="179">
        <v>30354</v>
      </c>
      <c r="V40" s="179">
        <v>10559</v>
      </c>
      <c r="W40" s="179">
        <v>3630</v>
      </c>
      <c r="X40" s="179">
        <v>4487</v>
      </c>
      <c r="Y40" s="179">
        <v>2830</v>
      </c>
      <c r="Z40" s="179">
        <v>11170</v>
      </c>
      <c r="AA40" s="179">
        <v>6215</v>
      </c>
      <c r="AB40" s="179">
        <v>0</v>
      </c>
      <c r="AC40" s="179">
        <v>3057</v>
      </c>
      <c r="AD40" s="179">
        <v>21340</v>
      </c>
      <c r="AE40" s="179">
        <v>5063</v>
      </c>
      <c r="AF40" s="179">
        <v>5211</v>
      </c>
      <c r="AG40" s="179">
        <v>692</v>
      </c>
      <c r="AH40" s="179">
        <v>3210</v>
      </c>
      <c r="AI40" s="179">
        <v>909</v>
      </c>
      <c r="AJ40" s="179">
        <v>1854</v>
      </c>
      <c r="AK40" s="179">
        <v>510</v>
      </c>
      <c r="AL40" s="179">
        <v>1137</v>
      </c>
      <c r="AM40" s="179">
        <v>683</v>
      </c>
      <c r="AN40" s="184"/>
      <c r="AO40" s="178">
        <f>SUM(C40:AM40)</f>
        <v>1781546</v>
      </c>
    </row>
    <row r="41" spans="1:41" ht="12.75" customHeight="1">
      <c r="A41" s="174" t="s">
        <v>71</v>
      </c>
      <c r="B41" s="174"/>
      <c r="C41" s="179">
        <v>8552</v>
      </c>
      <c r="D41" s="179">
        <v>0</v>
      </c>
      <c r="E41" s="179">
        <v>0</v>
      </c>
      <c r="F41" s="179">
        <v>0</v>
      </c>
      <c r="G41" s="179">
        <v>0</v>
      </c>
      <c r="H41" s="179">
        <v>57390</v>
      </c>
      <c r="I41" s="179">
        <v>0</v>
      </c>
      <c r="J41" s="179">
        <v>0</v>
      </c>
      <c r="K41" s="179">
        <v>0</v>
      </c>
      <c r="L41" s="179">
        <v>0</v>
      </c>
      <c r="M41" s="179">
        <v>0</v>
      </c>
      <c r="N41" s="179">
        <v>0</v>
      </c>
      <c r="O41" s="179">
        <v>0</v>
      </c>
      <c r="P41" s="179">
        <v>0</v>
      </c>
      <c r="Q41" s="179">
        <v>0</v>
      </c>
      <c r="R41" s="179">
        <v>0</v>
      </c>
      <c r="S41" s="179">
        <v>0</v>
      </c>
      <c r="T41" s="179">
        <v>950</v>
      </c>
      <c r="U41" s="179">
        <v>6135</v>
      </c>
      <c r="V41" s="179">
        <v>0</v>
      </c>
      <c r="W41" s="179">
        <v>0</v>
      </c>
      <c r="X41" s="179">
        <v>0</v>
      </c>
      <c r="Y41" s="179">
        <v>5849</v>
      </c>
      <c r="Z41" s="179">
        <v>0</v>
      </c>
      <c r="AA41" s="179">
        <v>0</v>
      </c>
      <c r="AB41" s="179">
        <v>0</v>
      </c>
      <c r="AC41" s="179">
        <v>3969</v>
      </c>
      <c r="AD41" s="179">
        <v>0</v>
      </c>
      <c r="AE41" s="179">
        <v>0</v>
      </c>
      <c r="AF41" s="179">
        <v>0</v>
      </c>
      <c r="AG41" s="179">
        <v>2167</v>
      </c>
      <c r="AH41" s="179">
        <v>0</v>
      </c>
      <c r="AI41" s="179">
        <v>0</v>
      </c>
      <c r="AJ41" s="179">
        <v>0</v>
      </c>
      <c r="AK41" s="179">
        <v>0</v>
      </c>
      <c r="AL41" s="179">
        <v>732</v>
      </c>
      <c r="AM41" s="179">
        <v>2574</v>
      </c>
      <c r="AN41" s="184"/>
      <c r="AO41" s="178">
        <f>SUM(C41:AM41)</f>
        <v>88318</v>
      </c>
    </row>
    <row r="42" spans="1:41" ht="12.75" customHeight="1">
      <c r="A42" s="177" t="s">
        <v>376</v>
      </c>
      <c r="B42" s="164"/>
      <c r="C42" s="179">
        <f>SUM(C40:C41)</f>
        <v>256956</v>
      </c>
      <c r="D42" s="179">
        <f aca="true" t="shared" si="6" ref="D42:AM42">SUM(D40:D41)</f>
        <v>203215</v>
      </c>
      <c r="E42" s="179">
        <f t="shared" si="6"/>
        <v>242517</v>
      </c>
      <c r="F42" s="179">
        <f>SUM(F40:F41)</f>
        <v>118565</v>
      </c>
      <c r="G42" s="179">
        <f>SUM(G40:G41)</f>
        <v>83406</v>
      </c>
      <c r="H42" s="179">
        <f t="shared" si="6"/>
        <v>114208</v>
      </c>
      <c r="I42" s="179">
        <f t="shared" si="6"/>
        <v>84533</v>
      </c>
      <c r="J42" s="179">
        <f t="shared" si="6"/>
        <v>88527</v>
      </c>
      <c r="K42" s="179">
        <f t="shared" si="6"/>
        <v>87481</v>
      </c>
      <c r="L42" s="179">
        <f t="shared" si="6"/>
        <v>73452</v>
      </c>
      <c r="M42" s="179">
        <f t="shared" si="6"/>
        <v>43116</v>
      </c>
      <c r="N42" s="179">
        <f t="shared" si="6"/>
        <v>28781</v>
      </c>
      <c r="O42" s="179">
        <f t="shared" si="6"/>
        <v>45391</v>
      </c>
      <c r="P42" s="179">
        <f t="shared" si="6"/>
        <v>105007</v>
      </c>
      <c r="Q42" s="179">
        <f t="shared" si="6"/>
        <v>53570</v>
      </c>
      <c r="R42" s="179">
        <f t="shared" si="6"/>
        <v>55660</v>
      </c>
      <c r="S42" s="179">
        <f t="shared" si="6"/>
        <v>28427</v>
      </c>
      <c r="T42" s="179">
        <f t="shared" si="6"/>
        <v>22715</v>
      </c>
      <c r="U42" s="179">
        <f t="shared" si="6"/>
        <v>36489</v>
      </c>
      <c r="V42" s="179">
        <f t="shared" si="6"/>
        <v>10559</v>
      </c>
      <c r="W42" s="179">
        <f t="shared" si="6"/>
        <v>3630</v>
      </c>
      <c r="X42" s="179">
        <f t="shared" si="6"/>
        <v>4487</v>
      </c>
      <c r="Y42" s="179">
        <f t="shared" si="6"/>
        <v>8679</v>
      </c>
      <c r="Z42" s="179">
        <f t="shared" si="6"/>
        <v>11170</v>
      </c>
      <c r="AA42" s="179">
        <f t="shared" si="6"/>
        <v>6215</v>
      </c>
      <c r="AB42" s="179">
        <f t="shared" si="6"/>
        <v>0</v>
      </c>
      <c r="AC42" s="179">
        <f t="shared" si="6"/>
        <v>7026</v>
      </c>
      <c r="AD42" s="179">
        <f>SUM(AD40:AD41)</f>
        <v>21340</v>
      </c>
      <c r="AE42" s="179">
        <f t="shared" si="6"/>
        <v>5063</v>
      </c>
      <c r="AF42" s="179">
        <f t="shared" si="6"/>
        <v>5211</v>
      </c>
      <c r="AG42" s="179">
        <f t="shared" si="6"/>
        <v>2859</v>
      </c>
      <c r="AH42" s="179">
        <f t="shared" si="6"/>
        <v>3210</v>
      </c>
      <c r="AI42" s="179">
        <f t="shared" si="6"/>
        <v>909</v>
      </c>
      <c r="AJ42" s="179">
        <f t="shared" si="6"/>
        <v>1854</v>
      </c>
      <c r="AK42" s="179">
        <f t="shared" si="6"/>
        <v>510</v>
      </c>
      <c r="AL42" s="179">
        <f t="shared" si="6"/>
        <v>1869</v>
      </c>
      <c r="AM42" s="179">
        <f t="shared" si="6"/>
        <v>3257</v>
      </c>
      <c r="AN42" s="140"/>
      <c r="AO42" s="140">
        <f>SUM(AO40:AO41)</f>
        <v>1869864</v>
      </c>
    </row>
    <row r="43" spans="2:40" ht="12.75" customHeight="1">
      <c r="B43" s="177"/>
      <c r="C43" s="183"/>
      <c r="D43" s="183"/>
      <c r="E43" s="184"/>
      <c r="F43" s="184"/>
      <c r="G43" s="140"/>
      <c r="H43" s="183"/>
      <c r="I43" s="184"/>
      <c r="J43" s="184"/>
      <c r="K43" s="184"/>
      <c r="L43" s="184"/>
      <c r="M43" s="184"/>
      <c r="N43" s="183"/>
      <c r="O43" s="183"/>
      <c r="P43" s="184"/>
      <c r="Q43" s="183"/>
      <c r="R43" s="183"/>
      <c r="S43" s="183"/>
      <c r="T43" s="183"/>
      <c r="U43" s="183"/>
      <c r="V43" s="184"/>
      <c r="W43" s="184"/>
      <c r="X43" s="184"/>
      <c r="Y43" s="183"/>
      <c r="Z43" s="184"/>
      <c r="AA43" s="184"/>
      <c r="AB43" s="183"/>
      <c r="AC43" s="183"/>
      <c r="AD43" s="183"/>
      <c r="AE43" s="184"/>
      <c r="AF43" s="184"/>
      <c r="AG43" s="183"/>
      <c r="AH43" s="184"/>
      <c r="AI43" s="184"/>
      <c r="AJ43" s="184"/>
      <c r="AK43" s="183"/>
      <c r="AL43" s="183"/>
      <c r="AM43" s="183"/>
      <c r="AN43" s="184"/>
    </row>
    <row r="44" spans="1:41" ht="12.75" customHeight="1">
      <c r="A44" s="176" t="s">
        <v>72</v>
      </c>
      <c r="B44" s="176"/>
      <c r="C44" s="179">
        <v>0</v>
      </c>
      <c r="D44" s="179">
        <v>70016</v>
      </c>
      <c r="E44" s="179">
        <v>96138</v>
      </c>
      <c r="F44" s="179">
        <v>0</v>
      </c>
      <c r="G44" s="179">
        <v>0</v>
      </c>
      <c r="H44" s="179">
        <v>0</v>
      </c>
      <c r="I44" s="179">
        <v>0</v>
      </c>
      <c r="J44" s="179">
        <v>0</v>
      </c>
      <c r="K44" s="179">
        <v>19994</v>
      </c>
      <c r="L44" s="179">
        <v>8853</v>
      </c>
      <c r="M44" s="179">
        <v>0</v>
      </c>
      <c r="N44" s="179">
        <v>0</v>
      </c>
      <c r="O44" s="179">
        <v>0</v>
      </c>
      <c r="P44" s="179">
        <v>0</v>
      </c>
      <c r="Q44" s="179">
        <v>0</v>
      </c>
      <c r="R44" s="179">
        <v>9600</v>
      </c>
      <c r="S44" s="179">
        <v>0</v>
      </c>
      <c r="T44" s="179">
        <v>0</v>
      </c>
      <c r="U44" s="179">
        <v>0</v>
      </c>
      <c r="V44" s="179">
        <v>0</v>
      </c>
      <c r="W44" s="179">
        <v>0</v>
      </c>
      <c r="X44" s="179">
        <v>0</v>
      </c>
      <c r="Y44" s="179">
        <v>0</v>
      </c>
      <c r="Z44" s="179">
        <v>0</v>
      </c>
      <c r="AA44" s="179">
        <v>2350</v>
      </c>
      <c r="AB44" s="179">
        <v>0</v>
      </c>
      <c r="AC44" s="179">
        <v>9453</v>
      </c>
      <c r="AD44" s="179">
        <v>0</v>
      </c>
      <c r="AE44" s="179">
        <v>0</v>
      </c>
      <c r="AF44" s="179">
        <v>0</v>
      </c>
      <c r="AG44" s="179">
        <v>0</v>
      </c>
      <c r="AH44" s="179">
        <v>0</v>
      </c>
      <c r="AI44" s="179">
        <v>0</v>
      </c>
      <c r="AJ44" s="179">
        <v>0</v>
      </c>
      <c r="AK44" s="179">
        <v>0</v>
      </c>
      <c r="AL44" s="179">
        <v>0</v>
      </c>
      <c r="AM44" s="179">
        <v>0</v>
      </c>
      <c r="AN44" s="184"/>
      <c r="AO44" s="178">
        <f>SUM(C44:AM44)</f>
        <v>216404</v>
      </c>
    </row>
    <row r="45" spans="1:41" ht="12.75" customHeight="1">
      <c r="A45" s="164"/>
      <c r="B45" s="164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</row>
    <row r="46" spans="1:41" ht="12.75" customHeight="1">
      <c r="A46" s="176" t="s">
        <v>73</v>
      </c>
      <c r="B46" s="176"/>
      <c r="C46" s="179">
        <v>0</v>
      </c>
      <c r="D46" s="179">
        <v>0</v>
      </c>
      <c r="E46" s="179">
        <v>0</v>
      </c>
      <c r="F46" s="179">
        <v>0</v>
      </c>
      <c r="G46" s="179">
        <v>0</v>
      </c>
      <c r="H46" s="179">
        <v>0</v>
      </c>
      <c r="I46" s="179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9">
        <v>0</v>
      </c>
      <c r="Q46" s="179">
        <v>0</v>
      </c>
      <c r="R46" s="179">
        <v>0</v>
      </c>
      <c r="S46" s="179">
        <v>0</v>
      </c>
      <c r="T46" s="179">
        <v>0</v>
      </c>
      <c r="U46" s="179">
        <v>0</v>
      </c>
      <c r="V46" s="179">
        <v>0</v>
      </c>
      <c r="W46" s="179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9">
        <v>0</v>
      </c>
      <c r="AD46" s="179">
        <v>0</v>
      </c>
      <c r="AE46" s="179">
        <v>0</v>
      </c>
      <c r="AF46" s="179">
        <v>0</v>
      </c>
      <c r="AG46" s="179">
        <v>0</v>
      </c>
      <c r="AH46" s="179">
        <v>0</v>
      </c>
      <c r="AI46" s="179">
        <v>0</v>
      </c>
      <c r="AJ46" s="179">
        <v>0</v>
      </c>
      <c r="AK46" s="179">
        <v>0</v>
      </c>
      <c r="AL46" s="179">
        <v>0</v>
      </c>
      <c r="AM46" s="179">
        <v>0</v>
      </c>
      <c r="AN46" s="184"/>
      <c r="AO46" s="178">
        <f>SUM(C46:AM46)</f>
        <v>0</v>
      </c>
    </row>
    <row r="47" spans="1:40" ht="12.75" customHeight="1">
      <c r="A47" s="164"/>
      <c r="B47" s="164"/>
      <c r="C47" s="183"/>
      <c r="D47" s="183"/>
      <c r="E47" s="184"/>
      <c r="F47" s="184"/>
      <c r="G47" s="140"/>
      <c r="H47" s="183"/>
      <c r="I47" s="184"/>
      <c r="J47" s="184"/>
      <c r="K47" s="184"/>
      <c r="L47" s="184"/>
      <c r="M47" s="184"/>
      <c r="N47" s="183"/>
      <c r="O47" s="183"/>
      <c r="P47" s="184"/>
      <c r="Q47" s="183"/>
      <c r="R47" s="183"/>
      <c r="S47" s="183"/>
      <c r="T47" s="184"/>
      <c r="U47" s="183"/>
      <c r="V47" s="184"/>
      <c r="W47" s="184"/>
      <c r="X47" s="184"/>
      <c r="Y47" s="184"/>
      <c r="Z47" s="184"/>
      <c r="AA47" s="184"/>
      <c r="AB47" s="183"/>
      <c r="AC47" s="184"/>
      <c r="AD47" s="184"/>
      <c r="AE47" s="184"/>
      <c r="AF47" s="184"/>
      <c r="AG47" s="184"/>
      <c r="AH47" s="184"/>
      <c r="AI47" s="184"/>
      <c r="AJ47" s="184"/>
      <c r="AK47" s="183"/>
      <c r="AL47" s="184"/>
      <c r="AM47" s="184"/>
      <c r="AN47" s="184"/>
    </row>
    <row r="48" spans="1:40" ht="12.75" customHeight="1">
      <c r="A48" s="176" t="s">
        <v>74</v>
      </c>
      <c r="B48" s="176"/>
      <c r="C48" s="183"/>
      <c r="D48" s="183"/>
      <c r="E48" s="184"/>
      <c r="F48" s="184"/>
      <c r="G48" s="140"/>
      <c r="H48" s="183"/>
      <c r="I48" s="184"/>
      <c r="J48" s="184"/>
      <c r="K48" s="184"/>
      <c r="L48" s="184"/>
      <c r="M48" s="184"/>
      <c r="N48" s="183"/>
      <c r="O48" s="183"/>
      <c r="P48" s="184"/>
      <c r="Q48" s="183"/>
      <c r="R48" s="183"/>
      <c r="S48" s="183"/>
      <c r="T48" s="184"/>
      <c r="U48" s="183"/>
      <c r="V48" s="184"/>
      <c r="W48" s="184"/>
      <c r="X48" s="184"/>
      <c r="Y48" s="184"/>
      <c r="Z48" s="184"/>
      <c r="AA48" s="184"/>
      <c r="AB48" s="183"/>
      <c r="AC48" s="184"/>
      <c r="AD48" s="184"/>
      <c r="AE48" s="184"/>
      <c r="AF48" s="184"/>
      <c r="AG48" s="184"/>
      <c r="AH48" s="184"/>
      <c r="AI48" s="184"/>
      <c r="AJ48" s="184"/>
      <c r="AK48" s="183"/>
      <c r="AL48" s="184"/>
      <c r="AM48" s="184"/>
      <c r="AN48" s="184"/>
    </row>
    <row r="49" spans="1:41" ht="12.75" customHeight="1">
      <c r="A49" s="176" t="s">
        <v>75</v>
      </c>
      <c r="B49" s="176"/>
      <c r="C49" s="179">
        <f>C10-C17+C29-C37-C42+C44-C46</f>
        <v>34581573</v>
      </c>
      <c r="D49" s="179">
        <f aca="true" t="shared" si="7" ref="D49:AH49">D10-D17+D29-D37-D42+D44-D46</f>
        <v>28720462</v>
      </c>
      <c r="E49" s="179">
        <f t="shared" si="7"/>
        <v>22820570</v>
      </c>
      <c r="F49" s="179">
        <f t="shared" si="7"/>
        <v>8199513</v>
      </c>
      <c r="G49" s="179">
        <f t="shared" si="7"/>
        <v>9419125</v>
      </c>
      <c r="H49" s="179">
        <f t="shared" si="7"/>
        <v>8099627</v>
      </c>
      <c r="I49" s="179">
        <f t="shared" si="7"/>
        <v>7441329</v>
      </c>
      <c r="J49" s="179">
        <f t="shared" si="7"/>
        <v>6414175</v>
      </c>
      <c r="K49" s="179">
        <f t="shared" si="7"/>
        <v>5076842</v>
      </c>
      <c r="L49" s="179">
        <f t="shared" si="7"/>
        <v>6661091</v>
      </c>
      <c r="M49" s="179">
        <f t="shared" si="7"/>
        <v>27099599</v>
      </c>
      <c r="N49" s="179">
        <f t="shared" si="7"/>
        <v>3238815</v>
      </c>
      <c r="O49" s="179">
        <f t="shared" si="7"/>
        <v>3464601</v>
      </c>
      <c r="P49" s="179">
        <f t="shared" si="7"/>
        <v>7314592</v>
      </c>
      <c r="Q49" s="179">
        <f t="shared" si="7"/>
        <v>5539263</v>
      </c>
      <c r="R49" s="179">
        <f t="shared" si="7"/>
        <v>1655455</v>
      </c>
      <c r="S49" s="179">
        <f t="shared" si="7"/>
        <v>1766720</v>
      </c>
      <c r="T49" s="179">
        <f t="shared" si="7"/>
        <v>984477</v>
      </c>
      <c r="U49" s="179">
        <f t="shared" si="7"/>
        <v>697884</v>
      </c>
      <c r="V49" s="179">
        <f t="shared" si="7"/>
        <v>1519568</v>
      </c>
      <c r="W49" s="179">
        <f t="shared" si="7"/>
        <v>1088623</v>
      </c>
      <c r="X49" s="179">
        <f t="shared" si="7"/>
        <v>525556</v>
      </c>
      <c r="Y49" s="179">
        <f t="shared" si="7"/>
        <v>158999</v>
      </c>
      <c r="Z49" s="179">
        <f t="shared" si="7"/>
        <v>3543580</v>
      </c>
      <c r="AA49" s="179">
        <f t="shared" si="7"/>
        <v>394513</v>
      </c>
      <c r="AB49" s="179">
        <f t="shared" si="7"/>
        <v>246735</v>
      </c>
      <c r="AC49" s="179">
        <f t="shared" si="7"/>
        <v>112963</v>
      </c>
      <c r="AD49" s="179">
        <f>AD10-AD17+AD29-AD37-AD42+AD44-AD46</f>
        <v>74737</v>
      </c>
      <c r="AE49" s="179">
        <f t="shared" si="7"/>
        <v>1434722</v>
      </c>
      <c r="AF49" s="179">
        <f t="shared" si="7"/>
        <v>21382</v>
      </c>
      <c r="AG49" s="179">
        <f t="shared" si="7"/>
        <v>68431</v>
      </c>
      <c r="AH49" s="179">
        <f t="shared" si="7"/>
        <v>30048</v>
      </c>
      <c r="AI49" s="179">
        <v>2339</v>
      </c>
      <c r="AJ49" s="179">
        <v>5703</v>
      </c>
      <c r="AK49" s="179">
        <v>-10847</v>
      </c>
      <c r="AL49" s="179">
        <v>6656</v>
      </c>
      <c r="AM49" s="179">
        <v>-21784</v>
      </c>
      <c r="AN49" s="140"/>
      <c r="AO49" s="140">
        <f>+AO10-AO17+AO29-AO37-AO42+AO44-AO46</f>
        <v>198397637</v>
      </c>
    </row>
    <row r="50" spans="1:40" ht="12.75" customHeight="1">
      <c r="A50" s="164"/>
      <c r="B50" s="164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4"/>
    </row>
    <row r="51" spans="1:41" ht="12.75" customHeight="1">
      <c r="A51" s="176" t="s">
        <v>76</v>
      </c>
      <c r="B51" s="176"/>
      <c r="C51" s="179">
        <v>0</v>
      </c>
      <c r="D51" s="179">
        <v>0</v>
      </c>
      <c r="E51" s="179">
        <v>0</v>
      </c>
      <c r="F51" s="179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179">
        <v>0</v>
      </c>
      <c r="Q51" s="179">
        <v>0</v>
      </c>
      <c r="R51" s="179">
        <v>0</v>
      </c>
      <c r="S51" s="179">
        <v>0</v>
      </c>
      <c r="T51" s="179">
        <v>0</v>
      </c>
      <c r="U51" s="179">
        <v>0</v>
      </c>
      <c r="V51" s="179">
        <v>0</v>
      </c>
      <c r="W51" s="179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0</v>
      </c>
      <c r="AE51" s="179">
        <v>0</v>
      </c>
      <c r="AF51" s="179">
        <v>0</v>
      </c>
      <c r="AG51" s="179">
        <v>0</v>
      </c>
      <c r="AH51" s="179">
        <v>0</v>
      </c>
      <c r="AI51" s="179">
        <v>0</v>
      </c>
      <c r="AJ51" s="179">
        <v>0</v>
      </c>
      <c r="AK51" s="179">
        <v>0</v>
      </c>
      <c r="AL51" s="179">
        <v>0</v>
      </c>
      <c r="AM51" s="179">
        <v>0</v>
      </c>
      <c r="AN51" s="140"/>
      <c r="AO51" s="140">
        <f>+AO52-AO53</f>
        <v>0</v>
      </c>
    </row>
    <row r="52" spans="1:41" ht="12.75" customHeight="1">
      <c r="A52" s="174" t="s">
        <v>77</v>
      </c>
      <c r="B52" s="174"/>
      <c r="C52" s="179">
        <v>0</v>
      </c>
      <c r="D52" s="179">
        <v>0</v>
      </c>
      <c r="E52" s="179">
        <v>0</v>
      </c>
      <c r="F52" s="179">
        <v>0</v>
      </c>
      <c r="G52" s="179">
        <v>0</v>
      </c>
      <c r="H52" s="179">
        <v>0</v>
      </c>
      <c r="I52" s="179">
        <v>0</v>
      </c>
      <c r="J52" s="179">
        <v>0</v>
      </c>
      <c r="K52" s="179">
        <v>0</v>
      </c>
      <c r="L52" s="179">
        <v>0</v>
      </c>
      <c r="M52" s="179">
        <v>0</v>
      </c>
      <c r="N52" s="179">
        <v>0</v>
      </c>
      <c r="O52" s="179">
        <v>0</v>
      </c>
      <c r="P52" s="179">
        <v>0</v>
      </c>
      <c r="Q52" s="179">
        <v>0</v>
      </c>
      <c r="R52" s="179">
        <v>0</v>
      </c>
      <c r="S52" s="179">
        <v>0</v>
      </c>
      <c r="T52" s="179">
        <v>0</v>
      </c>
      <c r="U52" s="179">
        <v>0</v>
      </c>
      <c r="V52" s="179">
        <v>0</v>
      </c>
      <c r="W52" s="179">
        <v>0</v>
      </c>
      <c r="X52" s="179">
        <v>0</v>
      </c>
      <c r="Y52" s="179">
        <v>0</v>
      </c>
      <c r="Z52" s="179">
        <v>0</v>
      </c>
      <c r="AA52" s="179">
        <v>0</v>
      </c>
      <c r="AB52" s="179">
        <v>0</v>
      </c>
      <c r="AC52" s="179">
        <v>0</v>
      </c>
      <c r="AD52" s="179">
        <v>0</v>
      </c>
      <c r="AE52" s="179">
        <v>0</v>
      </c>
      <c r="AF52" s="179">
        <v>0</v>
      </c>
      <c r="AG52" s="179">
        <v>0</v>
      </c>
      <c r="AH52" s="179">
        <v>0</v>
      </c>
      <c r="AI52" s="179">
        <v>0</v>
      </c>
      <c r="AJ52" s="179">
        <v>0</v>
      </c>
      <c r="AK52" s="179">
        <v>0</v>
      </c>
      <c r="AL52" s="179">
        <v>0</v>
      </c>
      <c r="AM52" s="179">
        <v>0</v>
      </c>
      <c r="AN52" s="184"/>
      <c r="AO52" s="178">
        <f>SUM(C52:AM52)</f>
        <v>0</v>
      </c>
    </row>
    <row r="53" spans="1:41" ht="12.75" customHeight="1">
      <c r="A53" s="174" t="s">
        <v>528</v>
      </c>
      <c r="B53" s="174"/>
      <c r="C53" s="179">
        <v>0</v>
      </c>
      <c r="D53" s="179">
        <v>0</v>
      </c>
      <c r="E53" s="179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0</v>
      </c>
      <c r="K53" s="179">
        <v>0</v>
      </c>
      <c r="L53" s="179">
        <v>0</v>
      </c>
      <c r="M53" s="179">
        <v>0</v>
      </c>
      <c r="N53" s="179">
        <v>0</v>
      </c>
      <c r="O53" s="179">
        <v>0</v>
      </c>
      <c r="P53" s="179">
        <v>0</v>
      </c>
      <c r="Q53" s="179">
        <v>0</v>
      </c>
      <c r="R53" s="179">
        <v>0</v>
      </c>
      <c r="S53" s="179">
        <v>0</v>
      </c>
      <c r="T53" s="179">
        <v>0</v>
      </c>
      <c r="U53" s="179">
        <v>0</v>
      </c>
      <c r="V53" s="179">
        <v>0</v>
      </c>
      <c r="W53" s="179">
        <v>0</v>
      </c>
      <c r="X53" s="179">
        <v>0</v>
      </c>
      <c r="Y53" s="179">
        <v>0</v>
      </c>
      <c r="Z53" s="179">
        <v>0</v>
      </c>
      <c r="AA53" s="179">
        <v>0</v>
      </c>
      <c r="AB53" s="179">
        <v>0</v>
      </c>
      <c r="AC53" s="179">
        <v>0</v>
      </c>
      <c r="AD53" s="179">
        <v>0</v>
      </c>
      <c r="AE53" s="179">
        <v>0</v>
      </c>
      <c r="AF53" s="179">
        <v>0</v>
      </c>
      <c r="AG53" s="179">
        <v>0</v>
      </c>
      <c r="AH53" s="179">
        <v>0</v>
      </c>
      <c r="AI53" s="179">
        <v>0</v>
      </c>
      <c r="AJ53" s="179">
        <v>0</v>
      </c>
      <c r="AK53" s="179">
        <v>0</v>
      </c>
      <c r="AL53" s="179">
        <v>0</v>
      </c>
      <c r="AM53" s="179">
        <v>0</v>
      </c>
      <c r="AN53" s="184"/>
      <c r="AO53" s="178">
        <f>SUM(C53:AM53)</f>
        <v>0</v>
      </c>
    </row>
    <row r="54" spans="1:40" ht="12.75" customHeight="1">
      <c r="A54" s="176"/>
      <c r="B54" s="176"/>
      <c r="C54" s="183"/>
      <c r="D54" s="183"/>
      <c r="E54" s="184"/>
      <c r="F54" s="184"/>
      <c r="G54" s="140"/>
      <c r="H54" s="183"/>
      <c r="I54" s="184"/>
      <c r="J54" s="184"/>
      <c r="K54" s="184"/>
      <c r="L54" s="184"/>
      <c r="M54" s="184"/>
      <c r="N54" s="183"/>
      <c r="O54" s="183"/>
      <c r="P54" s="184"/>
      <c r="Q54" s="183"/>
      <c r="R54" s="183"/>
      <c r="S54" s="183"/>
      <c r="T54" s="184"/>
      <c r="U54" s="183"/>
      <c r="V54" s="184"/>
      <c r="W54" s="184"/>
      <c r="X54" s="184"/>
      <c r="Y54" s="184"/>
      <c r="Z54" s="184"/>
      <c r="AA54" s="184"/>
      <c r="AB54" s="183"/>
      <c r="AC54" s="184"/>
      <c r="AD54" s="184"/>
      <c r="AE54" s="184"/>
      <c r="AF54" s="184"/>
      <c r="AG54" s="184"/>
      <c r="AH54" s="184"/>
      <c r="AI54" s="184"/>
      <c r="AJ54" s="184"/>
      <c r="AK54" s="183"/>
      <c r="AL54" s="184"/>
      <c r="AM54" s="184"/>
      <c r="AN54" s="184"/>
    </row>
    <row r="55" spans="1:41" ht="12.75" customHeight="1">
      <c r="A55" s="176" t="s">
        <v>78</v>
      </c>
      <c r="B55" s="176"/>
      <c r="C55" s="180">
        <v>0</v>
      </c>
      <c r="D55" s="180">
        <v>0</v>
      </c>
      <c r="E55" s="180">
        <v>0</v>
      </c>
      <c r="F55" s="180">
        <v>0</v>
      </c>
      <c r="G55" s="179">
        <v>0</v>
      </c>
      <c r="H55" s="180">
        <v>0</v>
      </c>
      <c r="I55" s="180">
        <v>0</v>
      </c>
      <c r="J55" s="180">
        <v>0</v>
      </c>
      <c r="K55" s="180">
        <v>0</v>
      </c>
      <c r="L55" s="180">
        <v>0</v>
      </c>
      <c r="M55" s="180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80">
        <v>0</v>
      </c>
      <c r="T55" s="180">
        <v>0</v>
      </c>
      <c r="U55" s="180">
        <v>0</v>
      </c>
      <c r="V55" s="180">
        <v>0</v>
      </c>
      <c r="W55" s="180">
        <v>0</v>
      </c>
      <c r="X55" s="180">
        <v>0</v>
      </c>
      <c r="Y55" s="180">
        <v>0</v>
      </c>
      <c r="Z55" s="180">
        <v>0</v>
      </c>
      <c r="AA55" s="180">
        <v>0</v>
      </c>
      <c r="AB55" s="180">
        <v>0</v>
      </c>
      <c r="AC55" s="180">
        <v>0</v>
      </c>
      <c r="AD55" s="180">
        <v>0</v>
      </c>
      <c r="AE55" s="180">
        <v>0</v>
      </c>
      <c r="AF55" s="180">
        <v>0</v>
      </c>
      <c r="AG55" s="180">
        <v>0</v>
      </c>
      <c r="AH55" s="180">
        <v>0</v>
      </c>
      <c r="AI55" s="180">
        <v>0</v>
      </c>
      <c r="AJ55" s="180">
        <v>0</v>
      </c>
      <c r="AK55" s="180">
        <v>0</v>
      </c>
      <c r="AL55" s="180">
        <v>0</v>
      </c>
      <c r="AM55" s="180">
        <v>0</v>
      </c>
      <c r="AN55" s="184"/>
      <c r="AO55" s="178">
        <f>SUM(C55:AM55)</f>
        <v>0</v>
      </c>
    </row>
    <row r="56" spans="1:40" ht="12.75" customHeight="1">
      <c r="A56" s="176"/>
      <c r="B56" s="176"/>
      <c r="C56" s="183"/>
      <c r="D56" s="183"/>
      <c r="E56" s="184"/>
      <c r="F56" s="184"/>
      <c r="G56" s="140"/>
      <c r="H56" s="183"/>
      <c r="I56" s="184"/>
      <c r="J56" s="184"/>
      <c r="K56" s="184"/>
      <c r="L56" s="184"/>
      <c r="M56" s="184"/>
      <c r="N56" s="183"/>
      <c r="O56" s="183"/>
      <c r="P56" s="184"/>
      <c r="Q56" s="183"/>
      <c r="R56" s="183"/>
      <c r="S56" s="183"/>
      <c r="T56" s="184"/>
      <c r="U56" s="183"/>
      <c r="V56" s="184"/>
      <c r="W56" s="184"/>
      <c r="X56" s="184"/>
      <c r="Y56" s="184"/>
      <c r="Z56" s="184"/>
      <c r="AA56" s="184"/>
      <c r="AB56" s="183"/>
      <c r="AC56" s="184"/>
      <c r="AD56" s="184"/>
      <c r="AE56" s="184"/>
      <c r="AF56" s="184"/>
      <c r="AG56" s="184"/>
      <c r="AH56" s="184"/>
      <c r="AI56" s="184"/>
      <c r="AJ56" s="184"/>
      <c r="AK56" s="183"/>
      <c r="AL56" s="184"/>
      <c r="AM56" s="184"/>
      <c r="AN56" s="184"/>
    </row>
    <row r="57" spans="1:41" ht="12.75" customHeight="1">
      <c r="A57" s="176" t="s">
        <v>79</v>
      </c>
      <c r="B57" s="176"/>
      <c r="C57" s="140">
        <f>+C49+C51</f>
        <v>34581573</v>
      </c>
      <c r="D57" s="140">
        <f aca="true" t="shared" si="8" ref="D57:AM57">+D49+D51</f>
        <v>28720462</v>
      </c>
      <c r="E57" s="140">
        <f t="shared" si="8"/>
        <v>22820570</v>
      </c>
      <c r="F57" s="140">
        <f>+F49+F51</f>
        <v>8199513</v>
      </c>
      <c r="G57" s="140">
        <f>+G49+G51</f>
        <v>9419125</v>
      </c>
      <c r="H57" s="140">
        <f>+H49+H51</f>
        <v>8099627</v>
      </c>
      <c r="I57" s="140">
        <f t="shared" si="8"/>
        <v>7441329</v>
      </c>
      <c r="J57" s="140">
        <f t="shared" si="8"/>
        <v>6414175</v>
      </c>
      <c r="K57" s="140">
        <f t="shared" si="8"/>
        <v>5076842</v>
      </c>
      <c r="L57" s="140">
        <f t="shared" si="8"/>
        <v>6661091</v>
      </c>
      <c r="M57" s="140">
        <f>+M49+M51</f>
        <v>27099599</v>
      </c>
      <c r="N57" s="140">
        <f t="shared" si="8"/>
        <v>3238815</v>
      </c>
      <c r="O57" s="140">
        <f t="shared" si="8"/>
        <v>3464601</v>
      </c>
      <c r="P57" s="140">
        <f>+P49+P51</f>
        <v>7314592</v>
      </c>
      <c r="Q57" s="140">
        <f>+Q49+Q51</f>
        <v>5539263</v>
      </c>
      <c r="R57" s="140">
        <f t="shared" si="8"/>
        <v>1655455</v>
      </c>
      <c r="S57" s="140">
        <f>+S49+S51</f>
        <v>1766720</v>
      </c>
      <c r="T57" s="140">
        <f t="shared" si="8"/>
        <v>984477</v>
      </c>
      <c r="U57" s="140">
        <f t="shared" si="8"/>
        <v>697884</v>
      </c>
      <c r="V57" s="140">
        <f t="shared" si="8"/>
        <v>1519568</v>
      </c>
      <c r="W57" s="140">
        <f t="shared" si="8"/>
        <v>1088623</v>
      </c>
      <c r="X57" s="140">
        <f>+X49+X51</f>
        <v>525556</v>
      </c>
      <c r="Y57" s="140">
        <f t="shared" si="8"/>
        <v>158999</v>
      </c>
      <c r="Z57" s="140">
        <f>+Z49+Z51</f>
        <v>3543580</v>
      </c>
      <c r="AA57" s="140">
        <f t="shared" si="8"/>
        <v>394513</v>
      </c>
      <c r="AB57" s="140">
        <f aca="true" t="shared" si="9" ref="AB57:AJ57">+AB49+AB51</f>
        <v>246735</v>
      </c>
      <c r="AC57" s="140">
        <f t="shared" si="9"/>
        <v>112963</v>
      </c>
      <c r="AD57" s="140">
        <f>+AD49+AD51</f>
        <v>74737</v>
      </c>
      <c r="AE57" s="140">
        <f t="shared" si="9"/>
        <v>1434722</v>
      </c>
      <c r="AF57" s="140">
        <f t="shared" si="9"/>
        <v>21382</v>
      </c>
      <c r="AG57" s="140">
        <f t="shared" si="9"/>
        <v>68431</v>
      </c>
      <c r="AH57" s="140">
        <f t="shared" si="9"/>
        <v>30048</v>
      </c>
      <c r="AI57" s="140">
        <f t="shared" si="9"/>
        <v>2339</v>
      </c>
      <c r="AJ57" s="140">
        <f t="shared" si="9"/>
        <v>5703</v>
      </c>
      <c r="AK57" s="140">
        <f t="shared" si="8"/>
        <v>-10847</v>
      </c>
      <c r="AL57" s="140">
        <f t="shared" si="8"/>
        <v>6656</v>
      </c>
      <c r="AM57" s="140">
        <f t="shared" si="8"/>
        <v>-21784</v>
      </c>
      <c r="AN57" s="140"/>
      <c r="AO57" s="140">
        <f>+AO49+AO51</f>
        <v>198397637</v>
      </c>
    </row>
    <row r="58" spans="1:40" ht="12.75" customHeight="1">
      <c r="A58" s="164"/>
      <c r="B58" s="164"/>
      <c r="C58" s="183"/>
      <c r="D58" s="183"/>
      <c r="E58" s="184"/>
      <c r="F58" s="184"/>
      <c r="G58" s="140"/>
      <c r="H58" s="183"/>
      <c r="I58" s="184"/>
      <c r="J58" s="184"/>
      <c r="K58" s="184"/>
      <c r="L58" s="184"/>
      <c r="M58" s="184"/>
      <c r="N58" s="183"/>
      <c r="O58" s="183"/>
      <c r="P58" s="184"/>
      <c r="Q58" s="183"/>
      <c r="R58" s="183"/>
      <c r="S58" s="183"/>
      <c r="T58" s="184"/>
      <c r="U58" s="183"/>
      <c r="V58" s="184"/>
      <c r="W58" s="184"/>
      <c r="X58" s="184"/>
      <c r="Y58" s="184"/>
      <c r="Z58" s="184"/>
      <c r="AA58" s="184"/>
      <c r="AB58" s="183"/>
      <c r="AC58" s="184"/>
      <c r="AD58" s="184"/>
      <c r="AE58" s="184"/>
      <c r="AF58" s="184"/>
      <c r="AG58" s="184"/>
      <c r="AH58" s="184"/>
      <c r="AI58" s="184"/>
      <c r="AJ58" s="184"/>
      <c r="AK58" s="183"/>
      <c r="AL58" s="184"/>
      <c r="AM58" s="184"/>
      <c r="AN58" s="184"/>
    </row>
    <row r="59" spans="1:41" ht="12.75" customHeight="1">
      <c r="A59" s="176" t="s">
        <v>80</v>
      </c>
      <c r="B59" s="176"/>
      <c r="C59" s="179">
        <v>282259925</v>
      </c>
      <c r="D59" s="179">
        <v>240348888</v>
      </c>
      <c r="E59" s="179">
        <v>215411276</v>
      </c>
      <c r="F59" s="179">
        <v>88373004</v>
      </c>
      <c r="G59" s="179">
        <v>83242554</v>
      </c>
      <c r="H59" s="181">
        <v>83889876</v>
      </c>
      <c r="I59" s="179">
        <v>74710212</v>
      </c>
      <c r="J59" s="179">
        <v>59613929</v>
      </c>
      <c r="K59" s="179">
        <v>50924639</v>
      </c>
      <c r="L59" s="179">
        <v>48634302</v>
      </c>
      <c r="M59" s="179">
        <v>13179379</v>
      </c>
      <c r="N59" s="179">
        <v>34819790</v>
      </c>
      <c r="O59" s="179">
        <v>27218311</v>
      </c>
      <c r="P59" s="179">
        <v>22430546</v>
      </c>
      <c r="Q59" s="179">
        <v>22869244</v>
      </c>
      <c r="R59" s="179">
        <v>25968359</v>
      </c>
      <c r="S59" s="179">
        <v>21605516</v>
      </c>
      <c r="T59" s="179">
        <v>22147805</v>
      </c>
      <c r="U59" s="179">
        <v>20905368</v>
      </c>
      <c r="V59" s="179">
        <v>14087989</v>
      </c>
      <c r="W59" s="179">
        <v>11865757</v>
      </c>
      <c r="X59" s="179">
        <f>1766300+777183+2886162+537615+3630804</f>
        <v>9598064</v>
      </c>
      <c r="Y59" s="179">
        <v>7064000</v>
      </c>
      <c r="Z59" s="179">
        <v>2378237</v>
      </c>
      <c r="AA59" s="179">
        <v>3882037</v>
      </c>
      <c r="AB59" s="179">
        <v>2542032</v>
      </c>
      <c r="AC59" s="179">
        <v>2392117</v>
      </c>
      <c r="AD59" s="179">
        <v>2186980</v>
      </c>
      <c r="AE59" s="179">
        <v>800865</v>
      </c>
      <c r="AF59" s="179">
        <v>1124824</v>
      </c>
      <c r="AG59" s="179">
        <v>693279</v>
      </c>
      <c r="AH59" s="179">
        <v>451430</v>
      </c>
      <c r="AI59" s="179">
        <v>470205</v>
      </c>
      <c r="AJ59" s="179">
        <v>443865</v>
      </c>
      <c r="AK59" s="179">
        <v>183340</v>
      </c>
      <c r="AL59" s="179">
        <v>64524</v>
      </c>
      <c r="AM59" s="179">
        <v>27472</v>
      </c>
      <c r="AN59" s="184"/>
      <c r="AO59" s="178">
        <f>SUM(C59:AM59)</f>
        <v>1498809940</v>
      </c>
    </row>
    <row r="60" spans="1:40" ht="12.75" customHeight="1">
      <c r="A60" s="176"/>
      <c r="B60" s="176"/>
      <c r="C60" s="183"/>
      <c r="D60" s="183"/>
      <c r="E60" s="184"/>
      <c r="F60" s="184"/>
      <c r="G60" s="140"/>
      <c r="H60" s="183"/>
      <c r="I60" s="184"/>
      <c r="J60" s="184"/>
      <c r="K60" s="184"/>
      <c r="L60" s="184"/>
      <c r="M60" s="183"/>
      <c r="N60" s="183"/>
      <c r="O60" s="183"/>
      <c r="P60" s="184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4"/>
    </row>
    <row r="61" spans="1:40" ht="12.75" customHeight="1">
      <c r="A61" s="176" t="s">
        <v>377</v>
      </c>
      <c r="B61" s="176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4"/>
    </row>
    <row r="62" spans="1:41" ht="12.75" customHeight="1">
      <c r="A62" s="176" t="s">
        <v>378</v>
      </c>
      <c r="B62" s="176"/>
      <c r="C62" s="140">
        <f>+C57+C59</f>
        <v>316841498</v>
      </c>
      <c r="D62" s="140">
        <f aca="true" t="shared" si="10" ref="D62:AM62">+D57+D59</f>
        <v>269069350</v>
      </c>
      <c r="E62" s="140">
        <f t="shared" si="10"/>
        <v>238231846</v>
      </c>
      <c r="F62" s="140">
        <f>+F57+F59</f>
        <v>96572517</v>
      </c>
      <c r="G62" s="140">
        <f>+G57+G59</f>
        <v>92661679</v>
      </c>
      <c r="H62" s="140">
        <f>+H57+H59</f>
        <v>91989503</v>
      </c>
      <c r="I62" s="140">
        <f t="shared" si="10"/>
        <v>82151541</v>
      </c>
      <c r="J62" s="140">
        <f t="shared" si="10"/>
        <v>66028104</v>
      </c>
      <c r="K62" s="140">
        <f t="shared" si="10"/>
        <v>56001481</v>
      </c>
      <c r="L62" s="140">
        <f t="shared" si="10"/>
        <v>55295393</v>
      </c>
      <c r="M62" s="140">
        <f>+M57+M59</f>
        <v>40278978</v>
      </c>
      <c r="N62" s="140">
        <f t="shared" si="10"/>
        <v>38058605</v>
      </c>
      <c r="O62" s="140">
        <f t="shared" si="10"/>
        <v>30682912</v>
      </c>
      <c r="P62" s="140">
        <f>+P57+P59</f>
        <v>29745138</v>
      </c>
      <c r="Q62" s="140">
        <f>+Q57+Q59</f>
        <v>28408507</v>
      </c>
      <c r="R62" s="140">
        <f t="shared" si="10"/>
        <v>27623814</v>
      </c>
      <c r="S62" s="140">
        <f>+S57+S59</f>
        <v>23372236</v>
      </c>
      <c r="T62" s="140">
        <f t="shared" si="10"/>
        <v>23132282</v>
      </c>
      <c r="U62" s="140">
        <f t="shared" si="10"/>
        <v>21603252</v>
      </c>
      <c r="V62" s="140">
        <f t="shared" si="10"/>
        <v>15607557</v>
      </c>
      <c r="W62" s="140">
        <f t="shared" si="10"/>
        <v>12954380</v>
      </c>
      <c r="X62" s="140">
        <f>+X57+X59</f>
        <v>10123620</v>
      </c>
      <c r="Y62" s="140">
        <f t="shared" si="10"/>
        <v>7222999</v>
      </c>
      <c r="Z62" s="140">
        <f>+Z57+Z59</f>
        <v>5921817</v>
      </c>
      <c r="AA62" s="140">
        <f t="shared" si="10"/>
        <v>4276550</v>
      </c>
      <c r="AB62" s="140">
        <f aca="true" t="shared" si="11" ref="AB62:AJ62">+AB57+AB59</f>
        <v>2788767</v>
      </c>
      <c r="AC62" s="140">
        <f t="shared" si="11"/>
        <v>2505080</v>
      </c>
      <c r="AD62" s="140">
        <f>+AD57+AD59</f>
        <v>2261717</v>
      </c>
      <c r="AE62" s="140">
        <f t="shared" si="11"/>
        <v>2235587</v>
      </c>
      <c r="AF62" s="140">
        <f t="shared" si="11"/>
        <v>1146206</v>
      </c>
      <c r="AG62" s="140">
        <f t="shared" si="11"/>
        <v>761710</v>
      </c>
      <c r="AH62" s="140">
        <f t="shared" si="11"/>
        <v>481478</v>
      </c>
      <c r="AI62" s="140">
        <f t="shared" si="11"/>
        <v>472544</v>
      </c>
      <c r="AJ62" s="140">
        <f t="shared" si="11"/>
        <v>449568</v>
      </c>
      <c r="AK62" s="140">
        <f t="shared" si="10"/>
        <v>172493</v>
      </c>
      <c r="AL62" s="140">
        <f t="shared" si="10"/>
        <v>71180</v>
      </c>
      <c r="AM62" s="140">
        <f t="shared" si="10"/>
        <v>5688</v>
      </c>
      <c r="AN62" s="140"/>
      <c r="AO62" s="178">
        <f>SUM(C62:AM62)</f>
        <v>1697207577</v>
      </c>
    </row>
    <row r="63" spans="3:39" ht="12.75" customHeight="1">
      <c r="C63" s="182"/>
      <c r="D63" s="182"/>
      <c r="E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242"/>
      <c r="AE63" s="182"/>
      <c r="AF63" s="182"/>
      <c r="AG63" s="182"/>
      <c r="AH63" s="182"/>
      <c r="AI63" s="182"/>
      <c r="AJ63" s="182"/>
      <c r="AK63" s="242"/>
      <c r="AL63" s="182"/>
      <c r="AM63" s="182"/>
    </row>
    <row r="64" spans="5:39" ht="12.75" customHeight="1">
      <c r="E64" s="164"/>
      <c r="H64" s="164"/>
      <c r="J64" s="164"/>
      <c r="L64" s="164"/>
      <c r="N64" s="164"/>
      <c r="P64" s="164"/>
      <c r="T64" s="164"/>
      <c r="U64" s="164"/>
      <c r="V64" s="164"/>
      <c r="X64" s="164"/>
      <c r="Y64" s="164"/>
      <c r="AA64" s="178"/>
      <c r="AD64" s="164"/>
      <c r="AE64" s="164"/>
      <c r="AF64" s="164"/>
      <c r="AG64" s="164"/>
      <c r="AJ64" s="164"/>
      <c r="AK64" s="164"/>
      <c r="AM64" s="164"/>
    </row>
    <row r="65" ht="12.75" customHeight="1">
      <c r="AA65" s="178"/>
    </row>
    <row r="66" ht="12.75" customHeight="1">
      <c r="AA66" s="178"/>
    </row>
    <row r="67" spans="5:39" ht="12.75" customHeight="1">
      <c r="E67" s="185"/>
      <c r="H67" s="185"/>
      <c r="J67" s="185"/>
      <c r="L67" s="185"/>
      <c r="N67" s="185"/>
      <c r="P67" s="185"/>
      <c r="T67" s="185"/>
      <c r="U67" s="185"/>
      <c r="V67" s="185"/>
      <c r="X67" s="185"/>
      <c r="Y67" s="185"/>
      <c r="AA67" s="178"/>
      <c r="AD67" s="185"/>
      <c r="AE67" s="185"/>
      <c r="AF67" s="185"/>
      <c r="AG67" s="185"/>
      <c r="AJ67" s="185"/>
      <c r="AK67" s="185"/>
      <c r="AM67" s="185"/>
    </row>
    <row r="68" spans="5:39" ht="12.75" customHeight="1">
      <c r="E68" s="185"/>
      <c r="H68" s="185"/>
      <c r="J68" s="185"/>
      <c r="L68" s="185"/>
      <c r="N68" s="185"/>
      <c r="P68" s="185"/>
      <c r="T68" s="185"/>
      <c r="U68" s="185"/>
      <c r="V68" s="185"/>
      <c r="X68" s="185"/>
      <c r="Y68" s="185"/>
      <c r="AA68" s="178"/>
      <c r="AD68" s="185"/>
      <c r="AE68" s="185"/>
      <c r="AF68" s="185"/>
      <c r="AG68" s="185"/>
      <c r="AJ68" s="185"/>
      <c r="AK68" s="185"/>
      <c r="AM68" s="185"/>
    </row>
    <row r="69" spans="5:39" ht="12.75" customHeight="1">
      <c r="E69" s="185"/>
      <c r="H69" s="185"/>
      <c r="J69" s="185"/>
      <c r="L69" s="185"/>
      <c r="N69" s="185"/>
      <c r="P69" s="185"/>
      <c r="T69" s="185"/>
      <c r="U69" s="185"/>
      <c r="V69" s="185"/>
      <c r="X69" s="185"/>
      <c r="Y69" s="185"/>
      <c r="AA69" s="178"/>
      <c r="AD69" s="185"/>
      <c r="AE69" s="185"/>
      <c r="AF69" s="185"/>
      <c r="AG69" s="185"/>
      <c r="AJ69" s="185"/>
      <c r="AK69" s="185"/>
      <c r="AM69" s="185"/>
    </row>
    <row r="70" spans="5:39" ht="12.75" customHeight="1">
      <c r="E70" s="185"/>
      <c r="H70" s="185"/>
      <c r="J70" s="185"/>
      <c r="L70" s="185"/>
      <c r="N70" s="185"/>
      <c r="P70" s="185"/>
      <c r="T70" s="185"/>
      <c r="U70" s="185"/>
      <c r="V70" s="185"/>
      <c r="X70" s="185"/>
      <c r="Y70" s="185"/>
      <c r="AA70" s="178"/>
      <c r="AD70" s="185"/>
      <c r="AE70" s="185"/>
      <c r="AF70" s="185"/>
      <c r="AG70" s="185"/>
      <c r="AJ70" s="185"/>
      <c r="AK70" s="185"/>
      <c r="AM70" s="185"/>
    </row>
    <row r="71" spans="5:39" ht="12.75" customHeight="1">
      <c r="E71" s="185"/>
      <c r="H71" s="185"/>
      <c r="J71" s="185"/>
      <c r="L71" s="185"/>
      <c r="N71" s="185"/>
      <c r="P71" s="185"/>
      <c r="T71" s="185"/>
      <c r="U71" s="185"/>
      <c r="V71" s="185"/>
      <c r="X71" s="185"/>
      <c r="Y71" s="185"/>
      <c r="AA71" s="178"/>
      <c r="AD71" s="185"/>
      <c r="AE71" s="185"/>
      <c r="AF71" s="185"/>
      <c r="AG71" s="185"/>
      <c r="AJ71" s="185"/>
      <c r="AK71" s="185"/>
      <c r="AM71" s="185"/>
    </row>
    <row r="72" spans="22:27" ht="12.75" customHeight="1">
      <c r="V72" s="164"/>
      <c r="AA72" s="178"/>
    </row>
    <row r="73" spans="5:39" ht="12.75" customHeight="1">
      <c r="E73" s="164"/>
      <c r="H73" s="164"/>
      <c r="J73" s="164"/>
      <c r="L73" s="164"/>
      <c r="N73" s="164"/>
      <c r="P73" s="164"/>
      <c r="T73" s="164"/>
      <c r="U73" s="164"/>
      <c r="V73" s="164"/>
      <c r="X73" s="164"/>
      <c r="Y73" s="164"/>
      <c r="AA73" s="178"/>
      <c r="AD73" s="164"/>
      <c r="AE73" s="164"/>
      <c r="AF73" s="164"/>
      <c r="AG73" s="164"/>
      <c r="AJ73" s="164"/>
      <c r="AK73" s="164"/>
      <c r="AM73" s="164"/>
    </row>
    <row r="74" ht="12.75" customHeight="1">
      <c r="AA74" s="178"/>
    </row>
    <row r="75" spans="22:27" ht="12.75" customHeight="1">
      <c r="V75" s="185"/>
      <c r="AA75" s="178"/>
    </row>
    <row r="76" spans="5:39" ht="12.75" customHeight="1">
      <c r="E76" s="185"/>
      <c r="H76" s="185"/>
      <c r="J76" s="185"/>
      <c r="L76" s="185"/>
      <c r="N76" s="185"/>
      <c r="P76" s="185"/>
      <c r="T76" s="185"/>
      <c r="U76" s="185"/>
      <c r="V76" s="185"/>
      <c r="X76" s="185"/>
      <c r="Y76" s="185"/>
      <c r="AA76" s="178"/>
      <c r="AD76" s="185"/>
      <c r="AE76" s="185"/>
      <c r="AF76" s="185"/>
      <c r="AG76" s="185"/>
      <c r="AJ76" s="185"/>
      <c r="AK76" s="185"/>
      <c r="AM76" s="185"/>
    </row>
    <row r="77" spans="5:42" ht="12.75" customHeight="1">
      <c r="E77" s="185"/>
      <c r="H77" s="185"/>
      <c r="J77" s="185"/>
      <c r="L77" s="185"/>
      <c r="N77" s="185"/>
      <c r="P77" s="185"/>
      <c r="T77" s="185"/>
      <c r="U77" s="185"/>
      <c r="V77" s="185"/>
      <c r="X77" s="185"/>
      <c r="Y77" s="185"/>
      <c r="AA77" s="178"/>
      <c r="AD77" s="185"/>
      <c r="AE77" s="185"/>
      <c r="AF77" s="185"/>
      <c r="AG77" s="185"/>
      <c r="AJ77" s="185"/>
      <c r="AK77" s="185"/>
      <c r="AM77" s="185"/>
      <c r="AP77" s="170"/>
    </row>
    <row r="78" spans="22:27" ht="12.75" customHeight="1">
      <c r="V78" s="164"/>
      <c r="AA78" s="178"/>
    </row>
    <row r="79" spans="5:39" ht="12.75" customHeight="1">
      <c r="E79" s="164"/>
      <c r="H79" s="164"/>
      <c r="J79" s="164"/>
      <c r="L79" s="164"/>
      <c r="N79" s="164"/>
      <c r="P79" s="164"/>
      <c r="T79" s="164"/>
      <c r="U79" s="164"/>
      <c r="V79" s="164"/>
      <c r="X79" s="164"/>
      <c r="Y79" s="164"/>
      <c r="AA79" s="178"/>
      <c r="AD79" s="164"/>
      <c r="AE79" s="164"/>
      <c r="AF79" s="164"/>
      <c r="AG79" s="164"/>
      <c r="AJ79" s="164"/>
      <c r="AK79" s="164"/>
      <c r="AM79" s="164"/>
    </row>
    <row r="80" spans="22:41" ht="12.75" customHeight="1">
      <c r="V80" s="164"/>
      <c r="AA80" s="178"/>
      <c r="AO80" s="170"/>
    </row>
    <row r="81" spans="5:39" ht="12.75" customHeight="1">
      <c r="E81" s="164"/>
      <c r="H81" s="164"/>
      <c r="J81" s="164"/>
      <c r="L81" s="164"/>
      <c r="N81" s="164"/>
      <c r="P81" s="164"/>
      <c r="T81" s="164"/>
      <c r="U81" s="164"/>
      <c r="X81" s="164"/>
      <c r="Y81" s="164"/>
      <c r="AA81" s="178"/>
      <c r="AD81" s="164"/>
      <c r="AE81" s="164"/>
      <c r="AF81" s="164"/>
      <c r="AG81" s="164"/>
      <c r="AJ81" s="164"/>
      <c r="AK81" s="164"/>
      <c r="AM81" s="164"/>
    </row>
    <row r="82" spans="5:39" ht="12.75" customHeight="1">
      <c r="E82" s="164"/>
      <c r="H82" s="164"/>
      <c r="J82" s="164"/>
      <c r="L82" s="164"/>
      <c r="N82" s="164"/>
      <c r="P82" s="164"/>
      <c r="T82" s="164"/>
      <c r="U82" s="164"/>
      <c r="X82" s="164"/>
      <c r="Y82" s="164"/>
      <c r="AA82" s="178"/>
      <c r="AD82" s="164"/>
      <c r="AE82" s="164"/>
      <c r="AF82" s="164"/>
      <c r="AG82" s="164"/>
      <c r="AJ82" s="164"/>
      <c r="AK82" s="164"/>
      <c r="AM82" s="164"/>
    </row>
    <row r="83" spans="5:39" ht="12.75" customHeight="1">
      <c r="E83" s="164"/>
      <c r="H83" s="164"/>
      <c r="J83" s="164"/>
      <c r="L83" s="164"/>
      <c r="N83" s="164"/>
      <c r="P83" s="164"/>
      <c r="T83" s="164"/>
      <c r="U83" s="164"/>
      <c r="X83" s="164"/>
      <c r="Y83" s="164"/>
      <c r="AA83" s="178"/>
      <c r="AD83" s="164"/>
      <c r="AE83" s="164"/>
      <c r="AF83" s="164"/>
      <c r="AG83" s="164"/>
      <c r="AJ83" s="164"/>
      <c r="AK83" s="164"/>
      <c r="AM83" s="164"/>
    </row>
    <row r="84" ht="12.75" customHeight="1">
      <c r="AA84" s="178"/>
    </row>
    <row r="85" spans="22:27" ht="12.75" customHeight="1">
      <c r="V85" s="164"/>
      <c r="AA85" s="178"/>
    </row>
    <row r="86" spans="5:39" ht="12.75" customHeight="1">
      <c r="E86" s="164"/>
      <c r="H86" s="164"/>
      <c r="J86" s="164"/>
      <c r="L86" s="164"/>
      <c r="N86" s="164"/>
      <c r="P86" s="164"/>
      <c r="T86" s="164"/>
      <c r="U86" s="164"/>
      <c r="V86" s="164"/>
      <c r="X86" s="164"/>
      <c r="Y86" s="164"/>
      <c r="AA86" s="178"/>
      <c r="AD86" s="164"/>
      <c r="AE86" s="164"/>
      <c r="AF86" s="164"/>
      <c r="AG86" s="164"/>
      <c r="AJ86" s="164"/>
      <c r="AK86" s="164"/>
      <c r="AM86" s="164"/>
    </row>
    <row r="87" ht="12.75" customHeight="1">
      <c r="AA87" s="178"/>
    </row>
    <row r="88" spans="5:39" ht="12.75" customHeight="1">
      <c r="E88" s="164"/>
      <c r="H88" s="164"/>
      <c r="J88" s="164"/>
      <c r="L88" s="164"/>
      <c r="N88" s="164"/>
      <c r="P88" s="164"/>
      <c r="T88" s="164"/>
      <c r="U88" s="164"/>
      <c r="V88" s="164"/>
      <c r="X88" s="164"/>
      <c r="Y88" s="164"/>
      <c r="AA88" s="178"/>
      <c r="AD88" s="164"/>
      <c r="AE88" s="164"/>
      <c r="AF88" s="164"/>
      <c r="AG88" s="164"/>
      <c r="AJ88" s="164"/>
      <c r="AK88" s="164"/>
      <c r="AM88" s="164"/>
    </row>
    <row r="89" spans="5:39" ht="12.75" customHeight="1">
      <c r="E89" s="164"/>
      <c r="H89" s="164"/>
      <c r="J89" s="164"/>
      <c r="L89" s="164"/>
      <c r="N89" s="164"/>
      <c r="P89" s="164"/>
      <c r="T89" s="164"/>
      <c r="U89" s="164"/>
      <c r="V89" s="164"/>
      <c r="X89" s="164"/>
      <c r="Y89" s="164"/>
      <c r="AA89" s="178"/>
      <c r="AD89" s="164"/>
      <c r="AE89" s="164"/>
      <c r="AF89" s="164"/>
      <c r="AG89" s="164"/>
      <c r="AJ89" s="164"/>
      <c r="AK89" s="164"/>
      <c r="AM89" s="164"/>
    </row>
    <row r="90" spans="5:39" ht="12.75" customHeight="1">
      <c r="E90" s="164"/>
      <c r="H90" s="164"/>
      <c r="J90" s="164"/>
      <c r="L90" s="164"/>
      <c r="N90" s="164"/>
      <c r="P90" s="164"/>
      <c r="T90" s="164"/>
      <c r="U90" s="164"/>
      <c r="V90" s="164"/>
      <c r="X90" s="164"/>
      <c r="Y90" s="164"/>
      <c r="AA90" s="178"/>
      <c r="AD90" s="164"/>
      <c r="AE90" s="164"/>
      <c r="AF90" s="164"/>
      <c r="AG90" s="164"/>
      <c r="AJ90" s="164"/>
      <c r="AK90" s="164"/>
      <c r="AM90" s="164"/>
    </row>
    <row r="91" spans="5:39" ht="12.75" customHeight="1">
      <c r="E91" s="164"/>
      <c r="H91" s="164"/>
      <c r="J91" s="164"/>
      <c r="L91" s="164"/>
      <c r="N91" s="164"/>
      <c r="P91" s="164"/>
      <c r="T91" s="164"/>
      <c r="U91" s="164"/>
      <c r="V91" s="164"/>
      <c r="X91" s="164"/>
      <c r="Y91" s="164"/>
      <c r="AA91" s="178"/>
      <c r="AD91" s="164"/>
      <c r="AE91" s="164"/>
      <c r="AF91" s="164"/>
      <c r="AG91" s="164"/>
      <c r="AJ91" s="164"/>
      <c r="AK91" s="164"/>
      <c r="AM91" s="164"/>
    </row>
    <row r="92" spans="5:39" ht="12.75" customHeight="1">
      <c r="E92" s="164"/>
      <c r="H92" s="164"/>
      <c r="J92" s="164"/>
      <c r="L92" s="164"/>
      <c r="N92" s="164"/>
      <c r="P92" s="164"/>
      <c r="T92" s="164"/>
      <c r="U92" s="164"/>
      <c r="V92" s="164"/>
      <c r="X92" s="164"/>
      <c r="Y92" s="164"/>
      <c r="AA92" s="178"/>
      <c r="AD92" s="164"/>
      <c r="AE92" s="164"/>
      <c r="AF92" s="164"/>
      <c r="AG92" s="164"/>
      <c r="AJ92" s="164"/>
      <c r="AK92" s="164"/>
      <c r="AM92" s="164"/>
    </row>
    <row r="93" spans="22:27" ht="12.75" customHeight="1">
      <c r="V93" s="164"/>
      <c r="AA93" s="178"/>
    </row>
    <row r="94" spans="5:39" ht="12.75" customHeight="1">
      <c r="E94" s="164"/>
      <c r="H94" s="164"/>
      <c r="J94" s="164"/>
      <c r="L94" s="164"/>
      <c r="N94" s="164"/>
      <c r="P94" s="164"/>
      <c r="T94" s="164"/>
      <c r="U94" s="164"/>
      <c r="V94" s="164"/>
      <c r="X94" s="164"/>
      <c r="Y94" s="164"/>
      <c r="AA94" s="164"/>
      <c r="AD94" s="164"/>
      <c r="AE94" s="164"/>
      <c r="AF94" s="164"/>
      <c r="AG94" s="164"/>
      <c r="AJ94" s="164"/>
      <c r="AK94" s="164"/>
      <c r="AM94" s="164"/>
    </row>
    <row r="95" spans="22:27" ht="12.75" customHeight="1">
      <c r="V95" s="164"/>
      <c r="AA95" s="178"/>
    </row>
    <row r="96" spans="5:39" ht="12.75" customHeight="1">
      <c r="E96" s="164"/>
      <c r="H96" s="164"/>
      <c r="J96" s="164"/>
      <c r="L96" s="164"/>
      <c r="N96" s="164"/>
      <c r="P96" s="164"/>
      <c r="T96" s="164"/>
      <c r="U96" s="164"/>
      <c r="X96" s="164"/>
      <c r="Y96" s="164"/>
      <c r="AA96" s="178"/>
      <c r="AD96" s="164"/>
      <c r="AE96" s="164"/>
      <c r="AF96" s="164"/>
      <c r="AG96" s="164"/>
      <c r="AJ96" s="164"/>
      <c r="AK96" s="164"/>
      <c r="AM96" s="164"/>
    </row>
    <row r="97" ht="12.75" customHeight="1">
      <c r="AA97" s="178"/>
    </row>
    <row r="98" ht="12.75" customHeight="1">
      <c r="AA98" s="178"/>
    </row>
    <row r="99" ht="12.75" customHeight="1">
      <c r="AA99" s="178"/>
    </row>
    <row r="100" ht="12.75" customHeight="1">
      <c r="AA100" s="178"/>
    </row>
    <row r="101" ht="12.75" customHeight="1">
      <c r="AA101" s="178"/>
    </row>
    <row r="102" ht="12.75" customHeight="1">
      <c r="AA102" s="178"/>
    </row>
    <row r="103" ht="12.75" customHeight="1">
      <c r="AA103" s="178"/>
    </row>
    <row r="104" ht="12.75" customHeight="1">
      <c r="AA104" s="178"/>
    </row>
    <row r="105" ht="12.75" customHeight="1">
      <c r="AA105" s="178"/>
    </row>
    <row r="106" ht="12.75" customHeight="1">
      <c r="AA106" s="178"/>
    </row>
    <row r="107" ht="12.75" customHeight="1">
      <c r="AA107" s="178"/>
    </row>
    <row r="108" ht="12.75" customHeight="1">
      <c r="AA108" s="178"/>
    </row>
    <row r="109" ht="12.75" customHeight="1">
      <c r="AA109" s="178"/>
    </row>
    <row r="110" ht="12.75" customHeight="1">
      <c r="AA110" s="178"/>
    </row>
    <row r="111" ht="12.75" customHeight="1">
      <c r="AA111" s="178"/>
    </row>
    <row r="112" ht="12.75" customHeight="1">
      <c r="AA112" s="178"/>
    </row>
    <row r="113" ht="12.75" customHeight="1">
      <c r="AA113" s="178"/>
    </row>
    <row r="114" ht="12.75" customHeight="1">
      <c r="AA114" s="178"/>
    </row>
    <row r="115" ht="12.75" customHeight="1">
      <c r="AA115" s="178"/>
    </row>
    <row r="116" ht="12.75" customHeight="1">
      <c r="AA116" s="178"/>
    </row>
    <row r="117" ht="12.75" customHeight="1">
      <c r="AA117" s="178"/>
    </row>
    <row r="118" ht="12.75" customHeight="1">
      <c r="AA118" s="178"/>
    </row>
    <row r="119" ht="12.75" customHeight="1">
      <c r="AA119" s="178"/>
    </row>
  </sheetData>
  <sheetProtection/>
  <mergeCells count="38">
    <mergeCell ref="J1:J3"/>
    <mergeCell ref="AH1:AH3"/>
    <mergeCell ref="AO1:AO3"/>
    <mergeCell ref="AL1:AL3"/>
    <mergeCell ref="AK1:AK3"/>
    <mergeCell ref="H1:H3"/>
    <mergeCell ref="N1:N3"/>
    <mergeCell ref="R1:R3"/>
    <mergeCell ref="Q1:Q3"/>
    <mergeCell ref="AM1:AM3"/>
    <mergeCell ref="L1:L3"/>
    <mergeCell ref="V1:V3"/>
    <mergeCell ref="AE1:AE3"/>
    <mergeCell ref="AG1:AG3"/>
    <mergeCell ref="E1:E3"/>
    <mergeCell ref="G1:G3"/>
    <mergeCell ref="Z1:Z3"/>
    <mergeCell ref="Y1:Y3"/>
    <mergeCell ref="F1:F3"/>
    <mergeCell ref="C1:C3"/>
    <mergeCell ref="P1:P3"/>
    <mergeCell ref="O1:O3"/>
    <mergeCell ref="M1:M3"/>
    <mergeCell ref="W1:W3"/>
    <mergeCell ref="K1:K3"/>
    <mergeCell ref="I1:I3"/>
    <mergeCell ref="T1:T3"/>
    <mergeCell ref="S1:S3"/>
    <mergeCell ref="D1:D3"/>
    <mergeCell ref="U1:U3"/>
    <mergeCell ref="AA1:AA3"/>
    <mergeCell ref="AJ1:AJ3"/>
    <mergeCell ref="AI1:AI3"/>
    <mergeCell ref="AF1:AF3"/>
    <mergeCell ref="AD1:AD3"/>
    <mergeCell ref="AC1:AC3"/>
    <mergeCell ref="AB1:AB3"/>
    <mergeCell ref="X1:X3"/>
  </mergeCells>
  <printOptions/>
  <pageMargins left="0.4724409448818898" right="0.31496062992125984" top="0.7874015748031497" bottom="0" header="0.2362204724409449" footer="0.11811023622047245"/>
  <pageSetup firstPageNumber="10" useFirstPageNumber="1" horizontalDpi="600" verticalDpi="600" orientation="portrait" paperSize="9" r:id="rId1"/>
  <headerFooter alignWithMargins="0">
    <oddHeader>&amp;C&amp;"Times New Roman,Bold"&amp;12 3.1. YFIRLIT UM BREYTINGU Á HREINNI EIGN TIL GREIÐSLU LÍFEYRIS ÁRIÐ 2007</oddHeader>
    <oddFooter>&amp;R&amp;"Times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61"/>
  <sheetViews>
    <sheetView zoomScaleSheetLayoutView="100" workbookViewId="0" topLeftCell="I1">
      <pane ySplit="1275" topLeftCell="A1" activePane="bottomLeft" state="split"/>
      <selection pane="topLeft" activeCell="AL1" sqref="AL1:AL16384"/>
      <selection pane="bottomLeft" activeCell="Q21" sqref="Q21"/>
    </sheetView>
  </sheetViews>
  <sheetFormatPr defaultColWidth="11.140625" defaultRowHeight="12.75" customHeight="1"/>
  <cols>
    <col min="1" max="1" width="22.7109375" style="178" customWidth="1"/>
    <col min="2" max="2" width="0.85546875" style="178" customWidth="1"/>
    <col min="3" max="3" width="10.00390625" style="178" customWidth="1"/>
    <col min="4" max="4" width="9.8515625" style="178" customWidth="1"/>
    <col min="5" max="12" width="9.28125" style="178" customWidth="1"/>
    <col min="13" max="13" width="9.57421875" style="178" customWidth="1"/>
    <col min="14" max="14" width="9.421875" style="178" customWidth="1"/>
    <col min="15" max="15" width="10.140625" style="178" customWidth="1"/>
    <col min="16" max="16" width="9.28125" style="178" customWidth="1"/>
    <col min="17" max="17" width="9.8515625" style="178" customWidth="1"/>
    <col min="18" max="18" width="10.00390625" style="178" customWidth="1"/>
    <col min="19" max="19" width="9.57421875" style="178" customWidth="1"/>
    <col min="20" max="20" width="9.7109375" style="178" customWidth="1"/>
    <col min="21" max="21" width="9.421875" style="178" customWidth="1"/>
    <col min="22" max="22" width="9.28125" style="178" customWidth="1"/>
    <col min="23" max="23" width="9.421875" style="178" customWidth="1"/>
    <col min="24" max="25" width="9.28125" style="178" customWidth="1"/>
    <col min="26" max="26" width="9.421875" style="178" customWidth="1"/>
    <col min="27" max="27" width="9.8515625" style="178" customWidth="1"/>
    <col min="28" max="28" width="9.7109375" style="178" customWidth="1"/>
    <col min="29" max="29" width="9.8515625" style="178" customWidth="1"/>
    <col min="30" max="30" width="10.421875" style="178" customWidth="1"/>
    <col min="31" max="31" width="9.28125" style="178" customWidth="1"/>
    <col min="32" max="32" width="9.7109375" style="178" customWidth="1"/>
    <col min="33" max="33" width="9.28125" style="178" customWidth="1"/>
    <col min="34" max="34" width="9.57421875" style="178" customWidth="1"/>
    <col min="35" max="35" width="9.28125" style="178" customWidth="1"/>
    <col min="36" max="37" width="9.7109375" style="178" customWidth="1"/>
    <col min="38" max="38" width="10.421875" style="178" customWidth="1"/>
    <col min="39" max="39" width="9.28125" style="178" customWidth="1"/>
    <col min="40" max="40" width="5.8515625" style="186" customWidth="1"/>
    <col min="41" max="41" width="9.7109375" style="178" customWidth="1"/>
    <col min="42" max="42" width="5.00390625" style="178" customWidth="1"/>
    <col min="43" max="16384" width="11.140625" style="178" customWidth="1"/>
  </cols>
  <sheetData>
    <row r="1" spans="2:42" ht="12.75" customHeight="1">
      <c r="B1" s="176"/>
      <c r="C1" s="478" t="s">
        <v>396</v>
      </c>
      <c r="D1" s="478" t="s">
        <v>170</v>
      </c>
      <c r="E1" s="478" t="s">
        <v>25</v>
      </c>
      <c r="F1" s="478" t="s">
        <v>368</v>
      </c>
      <c r="G1" s="478" t="s">
        <v>369</v>
      </c>
      <c r="H1" s="478" t="s">
        <v>547</v>
      </c>
      <c r="I1" s="478" t="s">
        <v>31</v>
      </c>
      <c r="J1" s="478" t="s">
        <v>223</v>
      </c>
      <c r="K1" s="478" t="s">
        <v>2</v>
      </c>
      <c r="L1" s="478" t="s">
        <v>24</v>
      </c>
      <c r="M1" s="478" t="s">
        <v>166</v>
      </c>
      <c r="N1" s="478" t="s">
        <v>3</v>
      </c>
      <c r="O1" s="478" t="s">
        <v>29</v>
      </c>
      <c r="P1" s="478" t="s">
        <v>370</v>
      </c>
      <c r="Q1" s="478" t="s">
        <v>432</v>
      </c>
      <c r="R1" s="478" t="s">
        <v>30</v>
      </c>
      <c r="S1" s="478" t="s">
        <v>230</v>
      </c>
      <c r="T1" s="478" t="s">
        <v>161</v>
      </c>
      <c r="U1" s="478" t="s">
        <v>27</v>
      </c>
      <c r="V1" s="478" t="s">
        <v>157</v>
      </c>
      <c r="W1" s="478" t="s">
        <v>442</v>
      </c>
      <c r="X1" s="478" t="s">
        <v>539</v>
      </c>
      <c r="Y1" s="478" t="s">
        <v>379</v>
      </c>
      <c r="Z1" s="478" t="s">
        <v>162</v>
      </c>
      <c r="AA1" s="478" t="s">
        <v>28</v>
      </c>
      <c r="AB1" s="478" t="s">
        <v>443</v>
      </c>
      <c r="AC1" s="478" t="s">
        <v>165</v>
      </c>
      <c r="AD1" s="478" t="s">
        <v>158</v>
      </c>
      <c r="AE1" s="478" t="s">
        <v>4</v>
      </c>
      <c r="AF1" s="478" t="s">
        <v>160</v>
      </c>
      <c r="AG1" s="478" t="s">
        <v>440</v>
      </c>
      <c r="AH1" s="478" t="s">
        <v>163</v>
      </c>
      <c r="AI1" s="478" t="s">
        <v>6</v>
      </c>
      <c r="AJ1" s="478" t="s">
        <v>226</v>
      </c>
      <c r="AK1" s="478" t="s">
        <v>441</v>
      </c>
      <c r="AL1" s="478" t="s">
        <v>168</v>
      </c>
      <c r="AM1" s="478" t="s">
        <v>380</v>
      </c>
      <c r="AO1" s="171" t="s">
        <v>371</v>
      </c>
      <c r="AP1" s="164"/>
    </row>
    <row r="2" spans="2:42" ht="12.75" customHeight="1">
      <c r="B2" s="174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O2" s="171" t="s">
        <v>9</v>
      </c>
      <c r="AP2" s="164"/>
    </row>
    <row r="3" spans="1:42" ht="12.75" customHeight="1">
      <c r="A3" s="174" t="s">
        <v>8</v>
      </c>
      <c r="B3" s="176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O3" s="171" t="s">
        <v>12</v>
      </c>
      <c r="AP3" s="164"/>
    </row>
    <row r="4" spans="2:42" ht="12.75" customHeight="1">
      <c r="B4" s="176"/>
      <c r="C4" s="187" t="s">
        <v>481</v>
      </c>
      <c r="D4" s="187" t="s">
        <v>511</v>
      </c>
      <c r="E4" s="187" t="s">
        <v>491</v>
      </c>
      <c r="F4" s="187" t="s">
        <v>515</v>
      </c>
      <c r="G4" s="187" t="s">
        <v>482</v>
      </c>
      <c r="H4" s="187" t="s">
        <v>517</v>
      </c>
      <c r="I4" s="187" t="s">
        <v>490</v>
      </c>
      <c r="J4" s="187" t="s">
        <v>501</v>
      </c>
      <c r="K4" s="187" t="s">
        <v>516</v>
      </c>
      <c r="L4" s="187" t="s">
        <v>489</v>
      </c>
      <c r="M4" s="187" t="s">
        <v>496</v>
      </c>
      <c r="N4" s="187" t="s">
        <v>494</v>
      </c>
      <c r="O4" s="187" t="s">
        <v>510</v>
      </c>
      <c r="P4" s="187" t="s">
        <v>512</v>
      </c>
      <c r="Q4" s="187" t="s">
        <v>508</v>
      </c>
      <c r="R4" s="187" t="s">
        <v>492</v>
      </c>
      <c r="S4" s="187" t="s">
        <v>499</v>
      </c>
      <c r="T4" s="187" t="s">
        <v>513</v>
      </c>
      <c r="U4" s="187" t="s">
        <v>495</v>
      </c>
      <c r="V4" s="187" t="s">
        <v>483</v>
      </c>
      <c r="W4" s="187" t="s">
        <v>507</v>
      </c>
      <c r="X4" s="187" t="s">
        <v>505</v>
      </c>
      <c r="Y4" s="187" t="s">
        <v>486</v>
      </c>
      <c r="Z4" s="187" t="s">
        <v>502</v>
      </c>
      <c r="AA4" s="187" t="s">
        <v>497</v>
      </c>
      <c r="AB4" s="187" t="s">
        <v>498</v>
      </c>
      <c r="AC4" s="187" t="s">
        <v>509</v>
      </c>
      <c r="AD4" s="187" t="s">
        <v>506</v>
      </c>
      <c r="AE4" s="187" t="s">
        <v>504</v>
      </c>
      <c r="AF4" s="187" t="s">
        <v>487</v>
      </c>
      <c r="AG4" s="187" t="s">
        <v>500</v>
      </c>
      <c r="AH4" s="187" t="s">
        <v>493</v>
      </c>
      <c r="AI4" s="187" t="s">
        <v>484</v>
      </c>
      <c r="AJ4" s="187" t="s">
        <v>488</v>
      </c>
      <c r="AK4" s="187" t="s">
        <v>485</v>
      </c>
      <c r="AL4" s="187" t="s">
        <v>503</v>
      </c>
      <c r="AM4" s="187" t="s">
        <v>514</v>
      </c>
      <c r="AO4" s="171"/>
      <c r="AP4" s="164"/>
    </row>
    <row r="5" spans="2:42" ht="12.75" customHeight="1">
      <c r="B5" s="176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O5" s="171"/>
      <c r="AP5" s="164"/>
    </row>
    <row r="6" spans="1:42" ht="12.75" customHeight="1">
      <c r="A6" s="176" t="s">
        <v>434</v>
      </c>
      <c r="B6" s="176"/>
      <c r="C6" s="188"/>
      <c r="D6" s="189"/>
      <c r="E6" s="188"/>
      <c r="F6" s="188"/>
      <c r="G6" s="188"/>
      <c r="H6" s="188"/>
      <c r="I6" s="188"/>
      <c r="J6" s="189"/>
      <c r="K6" s="188"/>
      <c r="L6" s="189"/>
      <c r="M6" s="188"/>
      <c r="N6" s="188"/>
      <c r="O6" s="188"/>
      <c r="P6" s="188"/>
      <c r="Q6" s="188"/>
      <c r="R6" s="188"/>
      <c r="S6" s="188"/>
      <c r="T6" s="188"/>
      <c r="U6" s="189"/>
      <c r="V6" s="188"/>
      <c r="W6" s="188"/>
      <c r="X6" s="188"/>
      <c r="Y6" s="189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O6" s="164"/>
      <c r="AP6" s="164"/>
    </row>
    <row r="7" spans="1:42" ht="12.75" customHeight="1">
      <c r="A7" s="190" t="s">
        <v>281</v>
      </c>
      <c r="B7" s="190"/>
      <c r="C7" s="188">
        <v>0</v>
      </c>
      <c r="D7" s="189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9">
        <v>0</v>
      </c>
      <c r="K7" s="188">
        <v>0</v>
      </c>
      <c r="L7" s="189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9">
        <v>0</v>
      </c>
      <c r="V7" s="188">
        <v>0</v>
      </c>
      <c r="W7" s="188">
        <v>0</v>
      </c>
      <c r="X7" s="188">
        <v>0</v>
      </c>
      <c r="Y7" s="189">
        <v>0</v>
      </c>
      <c r="Z7" s="188">
        <v>0</v>
      </c>
      <c r="AA7" s="188">
        <v>0</v>
      </c>
      <c r="AB7" s="188"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v>0</v>
      </c>
      <c r="AK7" s="188">
        <v>0</v>
      </c>
      <c r="AL7" s="188">
        <v>0</v>
      </c>
      <c r="AM7" s="188">
        <v>0</v>
      </c>
      <c r="AO7" s="164">
        <f>SUM(C7:AM7)</f>
        <v>0</v>
      </c>
      <c r="AP7" s="164"/>
    </row>
    <row r="8" spans="1:42" ht="12.75" customHeight="1">
      <c r="A8" s="176"/>
      <c r="B8" s="176"/>
      <c r="C8" s="188"/>
      <c r="D8" s="189"/>
      <c r="E8" s="188"/>
      <c r="F8" s="188"/>
      <c r="G8" s="188"/>
      <c r="H8" s="188"/>
      <c r="I8" s="188"/>
      <c r="J8" s="189"/>
      <c r="K8" s="188"/>
      <c r="L8" s="189"/>
      <c r="M8" s="188"/>
      <c r="N8" s="188"/>
      <c r="O8" s="188"/>
      <c r="P8" s="188"/>
      <c r="Q8" s="188"/>
      <c r="R8" s="188"/>
      <c r="S8" s="188"/>
      <c r="T8" s="188"/>
      <c r="U8" s="189"/>
      <c r="V8" s="188"/>
      <c r="W8" s="188"/>
      <c r="X8" s="188"/>
      <c r="Y8" s="18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O8" s="164"/>
      <c r="AP8" s="164"/>
    </row>
    <row r="9" spans="1:42" ht="12.75" customHeight="1">
      <c r="A9" s="176" t="s">
        <v>85</v>
      </c>
      <c r="B9" s="176"/>
      <c r="C9" s="188"/>
      <c r="D9" s="189"/>
      <c r="E9" s="188"/>
      <c r="F9" s="188"/>
      <c r="G9" s="188"/>
      <c r="H9" s="188"/>
      <c r="I9" s="188"/>
      <c r="J9" s="189"/>
      <c r="K9" s="188"/>
      <c r="L9" s="189"/>
      <c r="M9" s="188"/>
      <c r="N9" s="188"/>
      <c r="O9" s="188"/>
      <c r="P9" s="188"/>
      <c r="Q9" s="188"/>
      <c r="R9" s="188"/>
      <c r="S9" s="188"/>
      <c r="T9" s="188"/>
      <c r="U9" s="189"/>
      <c r="V9" s="188"/>
      <c r="W9" s="188"/>
      <c r="X9" s="188"/>
      <c r="Y9" s="18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O9" s="164"/>
      <c r="AP9" s="164"/>
    </row>
    <row r="10" spans="1:42" ht="12.75" customHeight="1">
      <c r="A10" s="174" t="s">
        <v>86</v>
      </c>
      <c r="B10" s="174"/>
      <c r="C10" s="179">
        <v>128306</v>
      </c>
      <c r="D10" s="179">
        <v>280724</v>
      </c>
      <c r="E10" s="179">
        <v>200078</v>
      </c>
      <c r="F10" s="179">
        <v>144412</v>
      </c>
      <c r="G10" s="179">
        <v>0</v>
      </c>
      <c r="H10" s="179">
        <v>96134</v>
      </c>
      <c r="I10" s="179">
        <v>65703</v>
      </c>
      <c r="J10" s="179">
        <v>0</v>
      </c>
      <c r="K10" s="179">
        <v>0</v>
      </c>
      <c r="L10" s="179">
        <v>27721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34594</v>
      </c>
      <c r="S10" s="179">
        <v>22343</v>
      </c>
      <c r="T10" s="179">
        <v>14256</v>
      </c>
      <c r="U10" s="179">
        <v>0</v>
      </c>
      <c r="V10" s="179">
        <v>17212</v>
      </c>
      <c r="W10" s="179">
        <v>0</v>
      </c>
      <c r="X10" s="179">
        <v>0</v>
      </c>
      <c r="Y10" s="179">
        <v>0</v>
      </c>
      <c r="Z10" s="179">
        <v>0</v>
      </c>
      <c r="AA10" s="179">
        <v>11731</v>
      </c>
      <c r="AB10" s="179">
        <v>0</v>
      </c>
      <c r="AC10" s="179">
        <v>21000</v>
      </c>
      <c r="AD10" s="179">
        <v>0</v>
      </c>
      <c r="AE10" s="179">
        <v>0</v>
      </c>
      <c r="AF10" s="179">
        <v>0</v>
      </c>
      <c r="AG10" s="179">
        <v>0</v>
      </c>
      <c r="AH10" s="179">
        <v>0</v>
      </c>
      <c r="AI10" s="179">
        <v>0</v>
      </c>
      <c r="AJ10" s="179">
        <v>0</v>
      </c>
      <c r="AK10" s="179">
        <v>0</v>
      </c>
      <c r="AL10" s="179">
        <v>0</v>
      </c>
      <c r="AM10" s="179">
        <v>0</v>
      </c>
      <c r="AO10" s="164">
        <f>SUM(C10:AM10)</f>
        <v>1064214</v>
      </c>
      <c r="AP10" s="164"/>
    </row>
    <row r="11" spans="1:42" ht="12.75" customHeight="1">
      <c r="A11" s="174"/>
      <c r="B11" s="174"/>
      <c r="C11" s="189"/>
      <c r="D11" s="189"/>
      <c r="E11" s="189"/>
      <c r="F11" s="189"/>
      <c r="G11" s="188"/>
      <c r="H11" s="189"/>
      <c r="I11" s="189"/>
      <c r="J11" s="189"/>
      <c r="K11" s="188"/>
      <c r="L11" s="189"/>
      <c r="M11" s="188"/>
      <c r="N11" s="188"/>
      <c r="O11" s="188"/>
      <c r="P11" s="188"/>
      <c r="Q11" s="188"/>
      <c r="R11" s="189"/>
      <c r="S11" s="189"/>
      <c r="T11" s="189"/>
      <c r="U11" s="189"/>
      <c r="V11" s="189"/>
      <c r="W11" s="188"/>
      <c r="X11" s="188"/>
      <c r="Y11" s="188"/>
      <c r="Z11" s="188"/>
      <c r="AA11" s="189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O11" s="164"/>
      <c r="AP11" s="164"/>
    </row>
    <row r="12" spans="1:42" ht="12.75" customHeight="1">
      <c r="A12" s="191" t="s">
        <v>87</v>
      </c>
      <c r="B12" s="191"/>
      <c r="C12" s="189"/>
      <c r="D12" s="189"/>
      <c r="E12" s="189"/>
      <c r="F12" s="189"/>
      <c r="G12" s="188"/>
      <c r="H12" s="189"/>
      <c r="I12" s="189"/>
      <c r="J12" s="189"/>
      <c r="K12" s="188"/>
      <c r="L12" s="189"/>
      <c r="M12" s="188"/>
      <c r="N12" s="188"/>
      <c r="O12" s="188"/>
      <c r="P12" s="188"/>
      <c r="Q12" s="188"/>
      <c r="R12" s="189"/>
      <c r="S12" s="189"/>
      <c r="T12" s="189"/>
      <c r="U12" s="189"/>
      <c r="V12" s="189"/>
      <c r="W12" s="188"/>
      <c r="X12" s="188"/>
      <c r="Y12" s="188"/>
      <c r="Z12" s="188"/>
      <c r="AA12" s="189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O12" s="164"/>
      <c r="AP12" s="164"/>
    </row>
    <row r="13" spans="1:42" ht="12.75" customHeight="1">
      <c r="A13" s="174" t="s">
        <v>88</v>
      </c>
      <c r="B13" s="174"/>
      <c r="C13" s="188">
        <v>0</v>
      </c>
      <c r="D13" s="189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9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9">
        <v>0</v>
      </c>
      <c r="V13" s="188">
        <v>0</v>
      </c>
      <c r="W13" s="188">
        <v>0</v>
      </c>
      <c r="X13" s="188">
        <v>0</v>
      </c>
      <c r="Y13" s="188">
        <v>0</v>
      </c>
      <c r="Z13" s="188">
        <v>0</v>
      </c>
      <c r="AA13" s="188">
        <v>0</v>
      </c>
      <c r="AB13" s="188"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v>0</v>
      </c>
      <c r="AK13" s="188">
        <v>0</v>
      </c>
      <c r="AL13" s="188">
        <v>0</v>
      </c>
      <c r="AM13" s="188">
        <v>0</v>
      </c>
      <c r="AO13" s="164">
        <f>SUM(C13:AM13)</f>
        <v>0</v>
      </c>
      <c r="AP13" s="164"/>
    </row>
    <row r="14" spans="1:42" ht="12.75" customHeight="1">
      <c r="A14" s="174" t="s">
        <v>89</v>
      </c>
      <c r="B14" s="174"/>
      <c r="C14" s="188">
        <v>0</v>
      </c>
      <c r="D14" s="189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9"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9">
        <v>0</v>
      </c>
      <c r="V14" s="188">
        <v>0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v>0</v>
      </c>
      <c r="AK14" s="188">
        <v>0</v>
      </c>
      <c r="AL14" s="188">
        <v>0</v>
      </c>
      <c r="AM14" s="188">
        <v>0</v>
      </c>
      <c r="AO14" s="164">
        <f>SUM(C14:AM14)</f>
        <v>0</v>
      </c>
      <c r="AP14" s="164"/>
    </row>
    <row r="15" spans="1:42" ht="12.75" customHeight="1">
      <c r="A15" s="174" t="s">
        <v>90</v>
      </c>
      <c r="B15" s="174"/>
      <c r="C15" s="188">
        <v>0</v>
      </c>
      <c r="D15" s="189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9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9">
        <v>44786</v>
      </c>
      <c r="T15" s="188">
        <v>0</v>
      </c>
      <c r="U15" s="189">
        <v>0</v>
      </c>
      <c r="V15" s="188">
        <v>0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v>0</v>
      </c>
      <c r="AK15" s="188">
        <v>0</v>
      </c>
      <c r="AL15" s="188">
        <v>0</v>
      </c>
      <c r="AM15" s="188">
        <v>0</v>
      </c>
      <c r="AO15" s="164">
        <f>SUM(C15:AM15)</f>
        <v>44786</v>
      </c>
      <c r="AP15" s="164"/>
    </row>
    <row r="16" spans="1:42" ht="12.75" customHeight="1">
      <c r="A16" s="174" t="s">
        <v>91</v>
      </c>
      <c r="B16" s="174"/>
      <c r="C16" s="188">
        <v>0</v>
      </c>
      <c r="D16" s="189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9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9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v>0</v>
      </c>
      <c r="AK16" s="188">
        <v>0</v>
      </c>
      <c r="AL16" s="188">
        <v>0</v>
      </c>
      <c r="AM16" s="188">
        <v>0</v>
      </c>
      <c r="AO16" s="164">
        <f>SUM(C16:AM16)</f>
        <v>0</v>
      </c>
      <c r="AP16" s="164"/>
    </row>
    <row r="17" spans="1:42" ht="12.75" customHeight="1">
      <c r="A17" s="174"/>
      <c r="B17" s="174"/>
      <c r="C17" s="188"/>
      <c r="D17" s="189"/>
      <c r="E17" s="188"/>
      <c r="F17" s="188"/>
      <c r="G17" s="188"/>
      <c r="H17" s="188"/>
      <c r="I17" s="188"/>
      <c r="J17" s="188"/>
      <c r="K17" s="188"/>
      <c r="L17" s="189"/>
      <c r="M17" s="188"/>
      <c r="N17" s="188"/>
      <c r="O17" s="188"/>
      <c r="P17" s="188"/>
      <c r="Q17" s="188"/>
      <c r="R17" s="188"/>
      <c r="S17" s="188"/>
      <c r="T17" s="188"/>
      <c r="U17" s="189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O17" s="164"/>
      <c r="AP17" s="164"/>
    </row>
    <row r="18" spans="1:42" ht="12.75" customHeight="1">
      <c r="A18" s="191" t="s">
        <v>92</v>
      </c>
      <c r="B18" s="191"/>
      <c r="C18" s="188"/>
      <c r="D18" s="189"/>
      <c r="E18" s="188"/>
      <c r="F18" s="188"/>
      <c r="G18" s="188"/>
      <c r="H18" s="188"/>
      <c r="I18" s="188"/>
      <c r="J18" s="188"/>
      <c r="K18" s="188"/>
      <c r="L18" s="189"/>
      <c r="M18" s="188"/>
      <c r="N18" s="188"/>
      <c r="O18" s="188"/>
      <c r="P18" s="188"/>
      <c r="Q18" s="188"/>
      <c r="R18" s="188"/>
      <c r="S18" s="188"/>
      <c r="T18" s="188"/>
      <c r="U18" s="189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O18" s="164"/>
      <c r="AP18" s="164"/>
    </row>
    <row r="19" spans="1:42" ht="12.75" customHeight="1">
      <c r="A19" s="174" t="s">
        <v>93</v>
      </c>
      <c r="B19" s="174"/>
      <c r="C19" s="179">
        <v>139651180</v>
      </c>
      <c r="D19" s="179">
        <v>141281144</v>
      </c>
      <c r="E19" s="179">
        <v>115235837</v>
      </c>
      <c r="F19" s="179">
        <v>44106029</v>
      </c>
      <c r="G19" s="179">
        <v>57771355</v>
      </c>
      <c r="H19" s="179">
        <v>48663662</v>
      </c>
      <c r="I19" s="179">
        <v>37590294</v>
      </c>
      <c r="J19" s="179">
        <v>40636082</v>
      </c>
      <c r="K19" s="179">
        <v>20308502</v>
      </c>
      <c r="L19" s="179">
        <v>27943425</v>
      </c>
      <c r="M19" s="179">
        <v>2579378</v>
      </c>
      <c r="N19" s="179">
        <v>9588875</v>
      </c>
      <c r="O19" s="179">
        <v>15181813</v>
      </c>
      <c r="P19" s="179">
        <v>27660146</v>
      </c>
      <c r="Q19" s="179">
        <v>12899775</v>
      </c>
      <c r="R19" s="179">
        <v>14819944</v>
      </c>
      <c r="S19" s="179">
        <v>10033531</v>
      </c>
      <c r="T19" s="179">
        <v>10835617</v>
      </c>
      <c r="U19" s="179">
        <v>17119923</v>
      </c>
      <c r="V19" s="179">
        <v>10696897</v>
      </c>
      <c r="W19" s="179">
        <v>2795916</v>
      </c>
      <c r="X19" s="179">
        <v>8378980</v>
      </c>
      <c r="Y19" s="179">
        <v>4873466</v>
      </c>
      <c r="Z19" s="179">
        <v>1432609</v>
      </c>
      <c r="AA19" s="179">
        <v>1974022</v>
      </c>
      <c r="AB19" s="179">
        <v>2455311</v>
      </c>
      <c r="AC19" s="179">
        <v>1714076</v>
      </c>
      <c r="AD19" s="179">
        <v>1140442</v>
      </c>
      <c r="AE19" s="179">
        <v>626158</v>
      </c>
      <c r="AF19" s="179">
        <v>1024586</v>
      </c>
      <c r="AG19" s="179">
        <v>5989</v>
      </c>
      <c r="AH19" s="179">
        <v>166406</v>
      </c>
      <c r="AI19" s="179">
        <v>23313</v>
      </c>
      <c r="AJ19" s="179">
        <v>193971</v>
      </c>
      <c r="AK19" s="179">
        <v>119585</v>
      </c>
      <c r="AL19" s="179">
        <v>663</v>
      </c>
      <c r="AM19" s="179">
        <v>0</v>
      </c>
      <c r="AO19" s="164">
        <f aca="true" t="shared" si="0" ref="AO19:AO24">SUM(C19:AM19)</f>
        <v>831528902</v>
      </c>
      <c r="AP19" s="164"/>
    </row>
    <row r="20" spans="1:42" ht="12.75" customHeight="1">
      <c r="A20" s="174" t="s">
        <v>94</v>
      </c>
      <c r="B20" s="174"/>
      <c r="C20" s="179">
        <v>120930683</v>
      </c>
      <c r="D20" s="179">
        <v>84349729</v>
      </c>
      <c r="E20" s="179">
        <v>102018323</v>
      </c>
      <c r="F20" s="179">
        <v>39447836</v>
      </c>
      <c r="G20" s="179">
        <v>24317640</v>
      </c>
      <c r="H20" s="179">
        <v>40117747</v>
      </c>
      <c r="I20" s="179">
        <v>30731651</v>
      </c>
      <c r="J20" s="179">
        <v>24051835</v>
      </c>
      <c r="K20" s="179">
        <v>32703798</v>
      </c>
      <c r="L20" s="179">
        <v>25417424</v>
      </c>
      <c r="M20" s="179">
        <v>36306299</v>
      </c>
      <c r="N20" s="179">
        <v>21384829</v>
      </c>
      <c r="O20" s="179">
        <v>10019083</v>
      </c>
      <c r="P20" s="179">
        <v>2145458</v>
      </c>
      <c r="Q20" s="179">
        <v>9392253</v>
      </c>
      <c r="R20" s="179">
        <v>12011138</v>
      </c>
      <c r="S20" s="179">
        <v>11357584</v>
      </c>
      <c r="T20" s="179">
        <v>9928313</v>
      </c>
      <c r="U20" s="179">
        <v>3655475</v>
      </c>
      <c r="V20" s="179">
        <v>2133395</v>
      </c>
      <c r="W20" s="179">
        <v>9623870</v>
      </c>
      <c r="X20" s="179">
        <v>1582412</v>
      </c>
      <c r="Y20" s="179">
        <v>1965101</v>
      </c>
      <c r="Z20" s="179">
        <v>4350506</v>
      </c>
      <c r="AA20" s="179">
        <v>1912760</v>
      </c>
      <c r="AB20" s="179">
        <v>219282</v>
      </c>
      <c r="AC20" s="179">
        <v>595782</v>
      </c>
      <c r="AD20" s="179">
        <v>845171</v>
      </c>
      <c r="AE20" s="179">
        <v>145177</v>
      </c>
      <c r="AF20" s="179">
        <v>73678</v>
      </c>
      <c r="AG20" s="179">
        <v>306719</v>
      </c>
      <c r="AH20" s="179">
        <v>272905</v>
      </c>
      <c r="AI20" s="179">
        <v>394631</v>
      </c>
      <c r="AJ20" s="179">
        <v>185787</v>
      </c>
      <c r="AK20" s="179">
        <v>47889</v>
      </c>
      <c r="AL20" s="179">
        <v>0</v>
      </c>
      <c r="AM20" s="179">
        <v>12046</v>
      </c>
      <c r="AO20" s="164">
        <f t="shared" si="0"/>
        <v>664954209</v>
      </c>
      <c r="AP20" s="164"/>
    </row>
    <row r="21" spans="1:42" ht="12.75" customHeight="1">
      <c r="A21" s="164" t="s">
        <v>95</v>
      </c>
      <c r="B21" s="164"/>
      <c r="C21" s="179">
        <v>43212338</v>
      </c>
      <c r="D21" s="179">
        <v>34999154</v>
      </c>
      <c r="E21" s="179">
        <v>10598961</v>
      </c>
      <c r="F21" s="179">
        <v>11273146</v>
      </c>
      <c r="G21" s="179">
        <v>9605724</v>
      </c>
      <c r="H21" s="179">
        <v>1237122</v>
      </c>
      <c r="I21" s="179">
        <v>11257337</v>
      </c>
      <c r="J21" s="179">
        <v>552982</v>
      </c>
      <c r="K21" s="179">
        <v>1796224</v>
      </c>
      <c r="L21" s="179">
        <v>1060803</v>
      </c>
      <c r="M21" s="179">
        <v>1066183</v>
      </c>
      <c r="N21" s="179">
        <v>2215253</v>
      </c>
      <c r="O21" s="179">
        <v>3816195</v>
      </c>
      <c r="P21" s="179">
        <v>0</v>
      </c>
      <c r="Q21" s="179">
        <v>4629365</v>
      </c>
      <c r="R21" s="179">
        <v>405141</v>
      </c>
      <c r="S21" s="179">
        <v>0</v>
      </c>
      <c r="T21" s="179">
        <v>2363629</v>
      </c>
      <c r="U21" s="179">
        <v>351918</v>
      </c>
      <c r="V21" s="179">
        <v>2544907</v>
      </c>
      <c r="W21" s="179">
        <v>317206</v>
      </c>
      <c r="X21" s="179">
        <v>62975</v>
      </c>
      <c r="Y21" s="179">
        <v>0</v>
      </c>
      <c r="Z21" s="179">
        <v>55777</v>
      </c>
      <c r="AA21" s="179">
        <v>0</v>
      </c>
      <c r="AB21" s="179">
        <v>61176</v>
      </c>
      <c r="AC21" s="179">
        <v>168245</v>
      </c>
      <c r="AD21" s="179">
        <v>256904</v>
      </c>
      <c r="AE21" s="179">
        <v>33216</v>
      </c>
      <c r="AF21" s="179">
        <v>27015</v>
      </c>
      <c r="AG21" s="179">
        <v>12411</v>
      </c>
      <c r="AH21" s="179">
        <v>11308</v>
      </c>
      <c r="AI21" s="179">
        <v>10737</v>
      </c>
      <c r="AJ21" s="179">
        <v>33133</v>
      </c>
      <c r="AK21" s="179">
        <v>4377</v>
      </c>
      <c r="AL21" s="179">
        <v>714</v>
      </c>
      <c r="AM21" s="179">
        <v>10281</v>
      </c>
      <c r="AO21" s="164">
        <f t="shared" si="0"/>
        <v>144051857</v>
      </c>
      <c r="AP21" s="164"/>
    </row>
    <row r="22" spans="1:42" ht="12.75" customHeight="1">
      <c r="A22" s="164" t="s">
        <v>96</v>
      </c>
      <c r="B22" s="164"/>
      <c r="C22" s="179">
        <v>0</v>
      </c>
      <c r="D22" s="179">
        <v>0</v>
      </c>
      <c r="E22" s="179">
        <v>0</v>
      </c>
      <c r="F22" s="179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79">
        <v>0</v>
      </c>
      <c r="R22" s="179">
        <v>0</v>
      </c>
      <c r="S22" s="179">
        <v>0</v>
      </c>
      <c r="T22" s="179">
        <v>0</v>
      </c>
      <c r="U22" s="179">
        <v>379884</v>
      </c>
      <c r="V22" s="179">
        <v>0</v>
      </c>
      <c r="W22" s="179">
        <v>0</v>
      </c>
      <c r="X22" s="179">
        <v>0</v>
      </c>
      <c r="Y22" s="179">
        <v>0</v>
      </c>
      <c r="Z22" s="179">
        <v>0</v>
      </c>
      <c r="AA22" s="179">
        <v>0</v>
      </c>
      <c r="AB22" s="179">
        <v>0</v>
      </c>
      <c r="AC22" s="179">
        <v>0</v>
      </c>
      <c r="AD22" s="179">
        <v>0</v>
      </c>
      <c r="AE22" s="179">
        <v>0</v>
      </c>
      <c r="AF22" s="179">
        <v>0</v>
      </c>
      <c r="AG22" s="179">
        <v>0</v>
      </c>
      <c r="AH22" s="179">
        <v>0</v>
      </c>
      <c r="AI22" s="179">
        <v>0</v>
      </c>
      <c r="AJ22" s="179">
        <v>0</v>
      </c>
      <c r="AK22" s="179">
        <v>0</v>
      </c>
      <c r="AL22" s="179">
        <v>0</v>
      </c>
      <c r="AM22" s="179">
        <v>0</v>
      </c>
      <c r="AO22" s="164">
        <f t="shared" si="0"/>
        <v>379884</v>
      </c>
      <c r="AP22" s="164"/>
    </row>
    <row r="23" spans="1:42" ht="12.75" customHeight="1">
      <c r="A23" s="174" t="s">
        <v>97</v>
      </c>
      <c r="B23" s="174"/>
      <c r="C23" s="179">
        <v>0</v>
      </c>
      <c r="D23" s="179">
        <v>0</v>
      </c>
      <c r="E23" s="179">
        <v>21720</v>
      </c>
      <c r="F23" s="179">
        <v>0</v>
      </c>
      <c r="G23" s="179">
        <v>897</v>
      </c>
      <c r="H23" s="179">
        <v>979731</v>
      </c>
      <c r="I23" s="179">
        <v>13241</v>
      </c>
      <c r="J23" s="179">
        <v>0</v>
      </c>
      <c r="K23" s="179">
        <v>0</v>
      </c>
      <c r="L23" s="179">
        <v>460008</v>
      </c>
      <c r="M23" s="179">
        <v>0</v>
      </c>
      <c r="N23" s="179">
        <v>3640360</v>
      </c>
      <c r="O23" s="179">
        <v>1521016</v>
      </c>
      <c r="P23" s="179">
        <v>95399</v>
      </c>
      <c r="Q23" s="179">
        <v>835317</v>
      </c>
      <c r="R23" s="179">
        <v>0</v>
      </c>
      <c r="S23" s="179">
        <v>824893</v>
      </c>
      <c r="T23" s="179">
        <v>0</v>
      </c>
      <c r="U23" s="179">
        <v>0</v>
      </c>
      <c r="V23" s="179">
        <v>0</v>
      </c>
      <c r="W23" s="179">
        <v>0</v>
      </c>
      <c r="X23" s="179">
        <v>0</v>
      </c>
      <c r="Y23" s="179">
        <v>0</v>
      </c>
      <c r="Z23" s="179">
        <v>0</v>
      </c>
      <c r="AA23" s="179">
        <v>0</v>
      </c>
      <c r="AB23" s="179">
        <v>0</v>
      </c>
      <c r="AC23" s="179">
        <v>0</v>
      </c>
      <c r="AD23" s="179">
        <v>0</v>
      </c>
      <c r="AE23" s="179">
        <v>0</v>
      </c>
      <c r="AF23" s="179">
        <v>0</v>
      </c>
      <c r="AG23" s="179">
        <v>442658</v>
      </c>
      <c r="AH23" s="179">
        <v>16068</v>
      </c>
      <c r="AI23" s="179">
        <v>0</v>
      </c>
      <c r="AJ23" s="179">
        <v>34440</v>
      </c>
      <c r="AK23" s="179">
        <v>0</v>
      </c>
      <c r="AL23" s="179">
        <v>0</v>
      </c>
      <c r="AM23" s="179">
        <v>0</v>
      </c>
      <c r="AO23" s="164">
        <f t="shared" si="0"/>
        <v>8885748</v>
      </c>
      <c r="AP23" s="164"/>
    </row>
    <row r="24" spans="1:42" ht="12.75" customHeight="1">
      <c r="A24" s="164" t="s">
        <v>92</v>
      </c>
      <c r="B24" s="164"/>
      <c r="C24" s="179">
        <v>537501</v>
      </c>
      <c r="D24" s="179">
        <v>0</v>
      </c>
      <c r="E24" s="179">
        <v>10955</v>
      </c>
      <c r="F24" s="179">
        <v>0</v>
      </c>
      <c r="G24" s="179">
        <v>2760</v>
      </c>
      <c r="H24" s="179">
        <v>0</v>
      </c>
      <c r="I24" s="179">
        <v>177068</v>
      </c>
      <c r="J24" s="179">
        <v>14788</v>
      </c>
      <c r="K24" s="179">
        <v>749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79">
        <v>0</v>
      </c>
      <c r="R24" s="179">
        <v>0</v>
      </c>
      <c r="S24" s="179">
        <v>879756</v>
      </c>
      <c r="T24" s="179">
        <v>0</v>
      </c>
      <c r="U24" s="179">
        <v>0</v>
      </c>
      <c r="V24" s="179">
        <v>0</v>
      </c>
      <c r="W24" s="179">
        <v>0</v>
      </c>
      <c r="X24" s="179">
        <v>0</v>
      </c>
      <c r="Y24" s="179">
        <v>0</v>
      </c>
      <c r="Z24" s="179">
        <v>0</v>
      </c>
      <c r="AA24" s="179">
        <v>0</v>
      </c>
      <c r="AB24" s="179">
        <v>0</v>
      </c>
      <c r="AC24" s="179">
        <v>0</v>
      </c>
      <c r="AD24" s="179">
        <v>0</v>
      </c>
      <c r="AE24" s="179">
        <v>0</v>
      </c>
      <c r="AF24" s="179">
        <v>0</v>
      </c>
      <c r="AG24" s="179">
        <v>-5000</v>
      </c>
      <c r="AH24" s="179">
        <v>0</v>
      </c>
      <c r="AI24" s="179">
        <v>0</v>
      </c>
      <c r="AJ24" s="179">
        <v>0</v>
      </c>
      <c r="AK24" s="179">
        <v>0</v>
      </c>
      <c r="AL24" s="179">
        <v>0</v>
      </c>
      <c r="AM24" s="179">
        <v>0</v>
      </c>
      <c r="AO24" s="164">
        <f t="shared" si="0"/>
        <v>1618577</v>
      </c>
      <c r="AP24" s="164"/>
    </row>
    <row r="25" spans="1:42" ht="12.75" customHeight="1">
      <c r="A25" s="177" t="s">
        <v>98</v>
      </c>
      <c r="B25" s="177"/>
      <c r="C25" s="189">
        <f>SUM(C19:C24)</f>
        <v>304331702</v>
      </c>
      <c r="D25" s="189">
        <f aca="true" t="shared" si="1" ref="D25:AK25">SUM(D19:D24)</f>
        <v>260630027</v>
      </c>
      <c r="E25" s="189">
        <f t="shared" si="1"/>
        <v>227885796</v>
      </c>
      <c r="F25" s="189">
        <f t="shared" si="1"/>
        <v>94827011</v>
      </c>
      <c r="G25" s="189">
        <f t="shared" si="1"/>
        <v>91698376</v>
      </c>
      <c r="H25" s="189">
        <f>SUM(H19:H24)</f>
        <v>90998262</v>
      </c>
      <c r="I25" s="189">
        <f t="shared" si="1"/>
        <v>79769591</v>
      </c>
      <c r="J25" s="189">
        <f t="shared" si="1"/>
        <v>65255687</v>
      </c>
      <c r="K25" s="189">
        <f t="shared" si="1"/>
        <v>54809273</v>
      </c>
      <c r="L25" s="189">
        <f t="shared" si="1"/>
        <v>54881660</v>
      </c>
      <c r="M25" s="189">
        <f>SUM(M19:M24)</f>
        <v>39951860</v>
      </c>
      <c r="N25" s="189">
        <f t="shared" si="1"/>
        <v>36829317</v>
      </c>
      <c r="O25" s="189">
        <f t="shared" si="1"/>
        <v>30538107</v>
      </c>
      <c r="P25" s="189">
        <f>SUM(P19:P24)</f>
        <v>29901003</v>
      </c>
      <c r="Q25" s="189">
        <f>SUM(Q19:Q24)</f>
        <v>27756710</v>
      </c>
      <c r="R25" s="189">
        <f t="shared" si="1"/>
        <v>27236223</v>
      </c>
      <c r="S25" s="189">
        <f>SUM(S19:S24)</f>
        <v>23095764</v>
      </c>
      <c r="T25" s="189">
        <f t="shared" si="1"/>
        <v>23127559</v>
      </c>
      <c r="U25" s="189">
        <f t="shared" si="1"/>
        <v>21507200</v>
      </c>
      <c r="V25" s="189">
        <f t="shared" si="1"/>
        <v>15375199</v>
      </c>
      <c r="W25" s="189">
        <f t="shared" si="1"/>
        <v>12736992</v>
      </c>
      <c r="X25" s="189">
        <f>SUM(X19:X24)</f>
        <v>10024367</v>
      </c>
      <c r="Y25" s="189">
        <f t="shared" si="1"/>
        <v>6838567</v>
      </c>
      <c r="Z25" s="189">
        <f>SUM(Z19:Z24)</f>
        <v>5838892</v>
      </c>
      <c r="AA25" s="189">
        <f t="shared" si="1"/>
        <v>3886782</v>
      </c>
      <c r="AB25" s="189">
        <f aca="true" t="shared" si="2" ref="AB25:AJ25">SUM(AB19:AB24)</f>
        <v>2735769</v>
      </c>
      <c r="AC25" s="189">
        <f t="shared" si="2"/>
        <v>2478103</v>
      </c>
      <c r="AD25" s="189">
        <f>SUM(AD19:AD24)</f>
        <v>2242517</v>
      </c>
      <c r="AE25" s="189">
        <f t="shared" si="2"/>
        <v>804551</v>
      </c>
      <c r="AF25" s="189">
        <f t="shared" si="2"/>
        <v>1125279</v>
      </c>
      <c r="AG25" s="189">
        <f t="shared" si="2"/>
        <v>762777</v>
      </c>
      <c r="AH25" s="189">
        <f t="shared" si="2"/>
        <v>466687</v>
      </c>
      <c r="AI25" s="189">
        <f t="shared" si="2"/>
        <v>428681</v>
      </c>
      <c r="AJ25" s="189">
        <f t="shared" si="2"/>
        <v>447331</v>
      </c>
      <c r="AK25" s="189">
        <f t="shared" si="1"/>
        <v>171851</v>
      </c>
      <c r="AL25" s="189">
        <f>SUM(AL19:AL24)</f>
        <v>1377</v>
      </c>
      <c r="AM25" s="189">
        <f>SUM(AM19:AM24)</f>
        <v>22327</v>
      </c>
      <c r="AN25" s="189"/>
      <c r="AO25" s="189">
        <f>SUM(AO19:AO24)</f>
        <v>1651419177</v>
      </c>
      <c r="AP25" s="164"/>
    </row>
    <row r="26" spans="1:42" ht="12.75" customHeight="1">
      <c r="A26" s="177" t="s">
        <v>99</v>
      </c>
      <c r="B26" s="177"/>
      <c r="C26" s="189">
        <f>SUM(C13:C16)+C25+C10</f>
        <v>304460008</v>
      </c>
      <c r="D26" s="189">
        <f aca="true" t="shared" si="3" ref="D26:AK26">SUM(D13:D16)+D25+D10</f>
        <v>260910751</v>
      </c>
      <c r="E26" s="189">
        <f t="shared" si="3"/>
        <v>228085874</v>
      </c>
      <c r="F26" s="189">
        <f t="shared" si="3"/>
        <v>94971423</v>
      </c>
      <c r="G26" s="189">
        <f t="shared" si="3"/>
        <v>91698376</v>
      </c>
      <c r="H26" s="189">
        <f>SUM(H13:H16)+H25+H10</f>
        <v>91094396</v>
      </c>
      <c r="I26" s="189">
        <f t="shared" si="3"/>
        <v>79835294</v>
      </c>
      <c r="J26" s="189">
        <f t="shared" si="3"/>
        <v>65255687</v>
      </c>
      <c r="K26" s="189">
        <f t="shared" si="3"/>
        <v>54809273</v>
      </c>
      <c r="L26" s="189">
        <f t="shared" si="3"/>
        <v>54909381</v>
      </c>
      <c r="M26" s="189">
        <f>SUM(M13:M16)+M25+M10</f>
        <v>39951860</v>
      </c>
      <c r="N26" s="189">
        <f t="shared" si="3"/>
        <v>36829317</v>
      </c>
      <c r="O26" s="189">
        <f t="shared" si="3"/>
        <v>30538107</v>
      </c>
      <c r="P26" s="189">
        <f>SUM(P13:P16)+P25+P10</f>
        <v>29901003</v>
      </c>
      <c r="Q26" s="189">
        <f>SUM(Q13:Q16)+Q25+Q10</f>
        <v>27756710</v>
      </c>
      <c r="R26" s="189">
        <f t="shared" si="3"/>
        <v>27270817</v>
      </c>
      <c r="S26" s="189">
        <f>SUM(S13:S16)+S25+S10</f>
        <v>23162893</v>
      </c>
      <c r="T26" s="189">
        <f t="shared" si="3"/>
        <v>23141815</v>
      </c>
      <c r="U26" s="189">
        <f t="shared" si="3"/>
        <v>21507200</v>
      </c>
      <c r="V26" s="189">
        <f t="shared" si="3"/>
        <v>15392411</v>
      </c>
      <c r="W26" s="189">
        <f t="shared" si="3"/>
        <v>12736992</v>
      </c>
      <c r="X26" s="189">
        <f>SUM(X13:X16)+X25+X10</f>
        <v>10024367</v>
      </c>
      <c r="Y26" s="189">
        <f t="shared" si="3"/>
        <v>6838567</v>
      </c>
      <c r="Z26" s="189">
        <f>SUM(Z13:Z16)+Z25+Z10</f>
        <v>5838892</v>
      </c>
      <c r="AA26" s="189">
        <f t="shared" si="3"/>
        <v>3898513</v>
      </c>
      <c r="AB26" s="189">
        <f aca="true" t="shared" si="4" ref="AB26:AJ26">SUM(AB13:AB16)+AB25+AB10</f>
        <v>2735769</v>
      </c>
      <c r="AC26" s="189">
        <f t="shared" si="4"/>
        <v>2499103</v>
      </c>
      <c r="AD26" s="189">
        <f>SUM(AD13:AD16)+AD25+AD10</f>
        <v>2242517</v>
      </c>
      <c r="AE26" s="189">
        <f t="shared" si="4"/>
        <v>804551</v>
      </c>
      <c r="AF26" s="189">
        <f t="shared" si="4"/>
        <v>1125279</v>
      </c>
      <c r="AG26" s="189">
        <f t="shared" si="4"/>
        <v>762777</v>
      </c>
      <c r="AH26" s="189">
        <f t="shared" si="4"/>
        <v>466687</v>
      </c>
      <c r="AI26" s="189">
        <f t="shared" si="4"/>
        <v>428681</v>
      </c>
      <c r="AJ26" s="189">
        <f t="shared" si="4"/>
        <v>447331</v>
      </c>
      <c r="AK26" s="189">
        <f t="shared" si="3"/>
        <v>171851</v>
      </c>
      <c r="AL26" s="189">
        <f>SUM(AL13:AL16)+AL25+AL10</f>
        <v>1377</v>
      </c>
      <c r="AM26" s="189">
        <f>SUM(AM13:AM16)+AM25+AM10</f>
        <v>22327</v>
      </c>
      <c r="AN26" s="189"/>
      <c r="AO26" s="189">
        <f>SUM(AO13:AO16)+AO25+AO10</f>
        <v>1652528177</v>
      </c>
      <c r="AP26" s="164"/>
    </row>
    <row r="27" spans="1:42" ht="12.75" customHeight="1">
      <c r="A27" s="192"/>
      <c r="B27" s="192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O27" s="164"/>
      <c r="AP27" s="164"/>
    </row>
    <row r="28" spans="1:42" ht="12.75" customHeight="1">
      <c r="A28" s="176" t="s">
        <v>100</v>
      </c>
      <c r="B28" s="176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O28" s="164"/>
      <c r="AP28" s="164"/>
    </row>
    <row r="29" spans="1:42" ht="12.75" customHeight="1">
      <c r="A29" s="174" t="s">
        <v>101</v>
      </c>
      <c r="B29" s="174"/>
      <c r="C29" s="179">
        <v>0</v>
      </c>
      <c r="D29" s="179">
        <v>0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0</v>
      </c>
      <c r="P29" s="179">
        <v>0</v>
      </c>
      <c r="Q29" s="179">
        <v>0</v>
      </c>
      <c r="R29" s="179">
        <v>0</v>
      </c>
      <c r="S29" s="179">
        <v>0</v>
      </c>
      <c r="T29" s="179">
        <v>0</v>
      </c>
      <c r="U29" s="179">
        <v>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0</v>
      </c>
      <c r="AB29" s="179">
        <v>0</v>
      </c>
      <c r="AC29" s="179">
        <v>0</v>
      </c>
      <c r="AD29" s="179">
        <v>0</v>
      </c>
      <c r="AE29" s="179">
        <v>0</v>
      </c>
      <c r="AF29" s="179">
        <v>0</v>
      </c>
      <c r="AG29" s="179">
        <v>0</v>
      </c>
      <c r="AH29" s="179">
        <v>0</v>
      </c>
      <c r="AI29" s="179">
        <v>0</v>
      </c>
      <c r="AJ29" s="179">
        <v>0</v>
      </c>
      <c r="AK29" s="179">
        <v>0</v>
      </c>
      <c r="AL29" s="179">
        <v>0</v>
      </c>
      <c r="AM29" s="179">
        <v>0</v>
      </c>
      <c r="AO29" s="164">
        <f>SUM(C29:AM29)</f>
        <v>0</v>
      </c>
      <c r="AP29" s="164"/>
    </row>
    <row r="30" spans="1:42" ht="12.75" customHeight="1">
      <c r="A30" s="174" t="s">
        <v>102</v>
      </c>
      <c r="B30" s="174"/>
      <c r="C30" s="179">
        <v>1460648</v>
      </c>
      <c r="D30" s="179">
        <v>1748000</v>
      </c>
      <c r="E30" s="179">
        <v>1125495</v>
      </c>
      <c r="F30" s="179">
        <v>303901</v>
      </c>
      <c r="G30" s="179">
        <v>255759</v>
      </c>
      <c r="H30" s="179">
        <v>527013</v>
      </c>
      <c r="I30" s="179">
        <v>421367</v>
      </c>
      <c r="J30" s="179">
        <v>211226</v>
      </c>
      <c r="K30" s="179">
        <v>800408</v>
      </c>
      <c r="L30" s="179">
        <v>528112</v>
      </c>
      <c r="M30" s="179">
        <v>182731</v>
      </c>
      <c r="N30" s="179">
        <v>0</v>
      </c>
      <c r="O30" s="179">
        <v>25951</v>
      </c>
      <c r="P30" s="179">
        <v>105621</v>
      </c>
      <c r="Q30" s="179">
        <v>291378</v>
      </c>
      <c r="R30" s="179">
        <v>391090</v>
      </c>
      <c r="S30" s="179">
        <v>59241</v>
      </c>
      <c r="T30" s="179">
        <v>25176</v>
      </c>
      <c r="U30" s="179">
        <v>33599</v>
      </c>
      <c r="V30" s="179">
        <v>70711</v>
      </c>
      <c r="W30" s="179">
        <v>0</v>
      </c>
      <c r="X30" s="179">
        <v>0</v>
      </c>
      <c r="Y30" s="179">
        <v>339517</v>
      </c>
      <c r="Z30" s="179">
        <v>22165</v>
      </c>
      <c r="AA30" s="179">
        <v>23035</v>
      </c>
      <c r="AB30" s="179">
        <v>7375</v>
      </c>
      <c r="AC30" s="179">
        <v>0</v>
      </c>
      <c r="AD30" s="179">
        <v>0</v>
      </c>
      <c r="AE30" s="179">
        <v>1365</v>
      </c>
      <c r="AF30" s="179">
        <v>1794</v>
      </c>
      <c r="AG30" s="179">
        <v>0</v>
      </c>
      <c r="AH30" s="179">
        <v>0</v>
      </c>
      <c r="AI30" s="179">
        <v>0</v>
      </c>
      <c r="AJ30" s="179">
        <v>3333</v>
      </c>
      <c r="AK30" s="179">
        <v>0</v>
      </c>
      <c r="AL30" s="179">
        <v>0</v>
      </c>
      <c r="AM30" s="179">
        <v>0</v>
      </c>
      <c r="AO30" s="164">
        <f>SUM(C30:AM30)</f>
        <v>8966011</v>
      </c>
      <c r="AP30" s="164"/>
    </row>
    <row r="31" spans="1:42" ht="12.75" customHeight="1">
      <c r="A31" s="174" t="s">
        <v>103</v>
      </c>
      <c r="B31" s="174"/>
      <c r="C31" s="179">
        <v>41550</v>
      </c>
      <c r="D31" s="179">
        <v>706321</v>
      </c>
      <c r="E31" s="179">
        <v>814573</v>
      </c>
      <c r="F31" s="179">
        <v>14610</v>
      </c>
      <c r="G31" s="179">
        <v>128356</v>
      </c>
      <c r="H31" s="179">
        <v>144340</v>
      </c>
      <c r="I31" s="179">
        <v>2543</v>
      </c>
      <c r="J31" s="179">
        <v>10390</v>
      </c>
      <c r="K31" s="179">
        <v>312</v>
      </c>
      <c r="L31" s="179">
        <v>37286</v>
      </c>
      <c r="M31" s="179">
        <v>0</v>
      </c>
      <c r="N31" s="179">
        <v>68308</v>
      </c>
      <c r="O31" s="179">
        <v>2</v>
      </c>
      <c r="P31" s="179">
        <v>13423</v>
      </c>
      <c r="Q31" s="179">
        <v>22151</v>
      </c>
      <c r="R31" s="179">
        <v>16749</v>
      </c>
      <c r="S31" s="179">
        <v>19915</v>
      </c>
      <c r="T31" s="179">
        <v>0</v>
      </c>
      <c r="U31" s="179">
        <v>37363</v>
      </c>
      <c r="V31" s="179">
        <v>5223</v>
      </c>
      <c r="W31" s="179">
        <v>23711</v>
      </c>
      <c r="X31" s="179">
        <v>52327</v>
      </c>
      <c r="Y31" s="179">
        <v>18981</v>
      </c>
      <c r="Z31" s="179">
        <v>0</v>
      </c>
      <c r="AA31" s="179">
        <v>0</v>
      </c>
      <c r="AB31" s="179">
        <v>46774</v>
      </c>
      <c r="AC31" s="179">
        <v>0</v>
      </c>
      <c r="AD31" s="179">
        <v>8409</v>
      </c>
      <c r="AE31" s="179">
        <v>1401938</v>
      </c>
      <c r="AF31" s="179">
        <v>6783</v>
      </c>
      <c r="AG31" s="179">
        <v>81</v>
      </c>
      <c r="AH31" s="179">
        <v>0</v>
      </c>
      <c r="AI31" s="179">
        <v>0</v>
      </c>
      <c r="AJ31" s="179">
        <v>0</v>
      </c>
      <c r="AK31" s="179">
        <v>1863</v>
      </c>
      <c r="AL31" s="179">
        <v>0</v>
      </c>
      <c r="AM31" s="179">
        <v>0</v>
      </c>
      <c r="AO31" s="164">
        <f>SUM(C31:AM31)</f>
        <v>3644282</v>
      </c>
      <c r="AP31" s="164"/>
    </row>
    <row r="32" spans="1:42" ht="12.75" customHeight="1">
      <c r="A32" s="177" t="s">
        <v>104</v>
      </c>
      <c r="B32" s="177"/>
      <c r="C32" s="189">
        <f>SUM(C29:C31)</f>
        <v>1502198</v>
      </c>
      <c r="D32" s="189">
        <f aca="true" t="shared" si="5" ref="D32:AK32">SUM(D29:D31)</f>
        <v>2454321</v>
      </c>
      <c r="E32" s="189">
        <f t="shared" si="5"/>
        <v>1940068</v>
      </c>
      <c r="F32" s="189">
        <f t="shared" si="5"/>
        <v>318511</v>
      </c>
      <c r="G32" s="189">
        <f t="shared" si="5"/>
        <v>384115</v>
      </c>
      <c r="H32" s="189">
        <f>SUM(H29:H31)</f>
        <v>671353</v>
      </c>
      <c r="I32" s="189">
        <f t="shared" si="5"/>
        <v>423910</v>
      </c>
      <c r="J32" s="189">
        <f t="shared" si="5"/>
        <v>221616</v>
      </c>
      <c r="K32" s="189">
        <f t="shared" si="5"/>
        <v>800720</v>
      </c>
      <c r="L32" s="189">
        <f t="shared" si="5"/>
        <v>565398</v>
      </c>
      <c r="M32" s="189">
        <f>SUM(M29:M31)</f>
        <v>182731</v>
      </c>
      <c r="N32" s="189">
        <f t="shared" si="5"/>
        <v>68308</v>
      </c>
      <c r="O32" s="189">
        <f t="shared" si="5"/>
        <v>25953</v>
      </c>
      <c r="P32" s="189">
        <f>SUM(P29:P31)</f>
        <v>119044</v>
      </c>
      <c r="Q32" s="189">
        <f>SUM(Q29:Q31)</f>
        <v>313529</v>
      </c>
      <c r="R32" s="189">
        <f t="shared" si="5"/>
        <v>407839</v>
      </c>
      <c r="S32" s="189">
        <f>SUM(S29:S31)</f>
        <v>79156</v>
      </c>
      <c r="T32" s="189">
        <f t="shared" si="5"/>
        <v>25176</v>
      </c>
      <c r="U32" s="189">
        <f t="shared" si="5"/>
        <v>70962</v>
      </c>
      <c r="V32" s="189">
        <f t="shared" si="5"/>
        <v>75934</v>
      </c>
      <c r="W32" s="189">
        <f t="shared" si="5"/>
        <v>23711</v>
      </c>
      <c r="X32" s="189">
        <f>SUM(X29:X31)</f>
        <v>52327</v>
      </c>
      <c r="Y32" s="189">
        <f t="shared" si="5"/>
        <v>358498</v>
      </c>
      <c r="Z32" s="189">
        <f>SUM(Z29:Z31)</f>
        <v>22165</v>
      </c>
      <c r="AA32" s="189">
        <f t="shared" si="5"/>
        <v>23035</v>
      </c>
      <c r="AB32" s="189">
        <f aca="true" t="shared" si="6" ref="AB32:AJ32">SUM(AB29:AB31)</f>
        <v>54149</v>
      </c>
      <c r="AC32" s="189">
        <f t="shared" si="6"/>
        <v>0</v>
      </c>
      <c r="AD32" s="189">
        <f>SUM(AD29:AD31)</f>
        <v>8409</v>
      </c>
      <c r="AE32" s="189">
        <f t="shared" si="6"/>
        <v>1403303</v>
      </c>
      <c r="AF32" s="189">
        <f t="shared" si="6"/>
        <v>8577</v>
      </c>
      <c r="AG32" s="189">
        <f t="shared" si="6"/>
        <v>81</v>
      </c>
      <c r="AH32" s="189">
        <f t="shared" si="6"/>
        <v>0</v>
      </c>
      <c r="AI32" s="189">
        <f t="shared" si="6"/>
        <v>0</v>
      </c>
      <c r="AJ32" s="189">
        <f t="shared" si="6"/>
        <v>3333</v>
      </c>
      <c r="AK32" s="189">
        <f t="shared" si="5"/>
        <v>1863</v>
      </c>
      <c r="AL32" s="189">
        <f>SUM(AL29:AL31)</f>
        <v>0</v>
      </c>
      <c r="AM32" s="189">
        <f>SUM(AM29:AM31)</f>
        <v>0</v>
      </c>
      <c r="AN32" s="189"/>
      <c r="AO32" s="189">
        <f>SUM(AO29:AO31)</f>
        <v>12610293</v>
      </c>
      <c r="AP32" s="164"/>
    </row>
    <row r="33" spans="1:42" ht="12.75" customHeight="1">
      <c r="A33" s="164"/>
      <c r="B33" s="164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O33" s="164"/>
      <c r="AP33" s="164"/>
    </row>
    <row r="34" spans="1:42" ht="12.75" customHeight="1">
      <c r="A34" s="176" t="s">
        <v>105</v>
      </c>
      <c r="B34" s="176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O34" s="164"/>
      <c r="AP34" s="164"/>
    </row>
    <row r="35" spans="1:42" ht="12.75" customHeight="1">
      <c r="A35" s="164" t="s">
        <v>106</v>
      </c>
      <c r="B35" s="164"/>
      <c r="C35" s="179">
        <v>13150</v>
      </c>
      <c r="D35" s="179">
        <v>46144</v>
      </c>
      <c r="E35" s="179">
        <v>30482</v>
      </c>
      <c r="F35" s="179">
        <v>11268</v>
      </c>
      <c r="G35" s="179">
        <v>0</v>
      </c>
      <c r="H35" s="179">
        <v>3694</v>
      </c>
      <c r="I35" s="179">
        <v>23361</v>
      </c>
      <c r="J35" s="179">
        <v>0</v>
      </c>
      <c r="K35" s="179">
        <v>21959</v>
      </c>
      <c r="L35" s="179">
        <v>2306</v>
      </c>
      <c r="M35" s="179">
        <v>0</v>
      </c>
      <c r="N35" s="179">
        <v>905</v>
      </c>
      <c r="O35" s="179">
        <v>7201</v>
      </c>
      <c r="P35" s="179">
        <v>0</v>
      </c>
      <c r="Q35" s="179">
        <v>5471</v>
      </c>
      <c r="R35" s="179">
        <v>516</v>
      </c>
      <c r="S35" s="179">
        <v>1893</v>
      </c>
      <c r="T35" s="179">
        <v>1461</v>
      </c>
      <c r="U35" s="179">
        <v>1467</v>
      </c>
      <c r="V35" s="179">
        <v>0</v>
      </c>
      <c r="W35" s="179">
        <v>0</v>
      </c>
      <c r="X35" s="179">
        <v>0</v>
      </c>
      <c r="Y35" s="179">
        <v>0</v>
      </c>
      <c r="Z35" s="179">
        <v>0</v>
      </c>
      <c r="AA35" s="179">
        <v>656</v>
      </c>
      <c r="AB35" s="179">
        <v>0</v>
      </c>
      <c r="AC35" s="179">
        <v>0</v>
      </c>
      <c r="AD35" s="179">
        <v>0</v>
      </c>
      <c r="AE35" s="179">
        <v>0</v>
      </c>
      <c r="AF35" s="179">
        <v>0</v>
      </c>
      <c r="AG35" s="179">
        <v>0</v>
      </c>
      <c r="AH35" s="179">
        <v>0</v>
      </c>
      <c r="AI35" s="179">
        <v>0</v>
      </c>
      <c r="AJ35" s="179">
        <v>0</v>
      </c>
      <c r="AK35" s="179">
        <v>0</v>
      </c>
      <c r="AL35" s="179">
        <v>0</v>
      </c>
      <c r="AM35" s="179">
        <v>0</v>
      </c>
      <c r="AO35" s="164">
        <f>SUM(C35:AM35)</f>
        <v>171934</v>
      </c>
      <c r="AP35" s="164"/>
    </row>
    <row r="36" spans="1:42" ht="12.75" customHeight="1">
      <c r="A36" s="164" t="s">
        <v>107</v>
      </c>
      <c r="B36" s="164"/>
      <c r="C36" s="179">
        <v>11889240</v>
      </c>
      <c r="D36" s="179">
        <v>5957654</v>
      </c>
      <c r="E36" s="179">
        <v>9004353</v>
      </c>
      <c r="F36" s="179">
        <v>1293592</v>
      </c>
      <c r="G36" s="179">
        <v>747030</v>
      </c>
      <c r="H36" s="179">
        <v>343424</v>
      </c>
      <c r="I36" s="179">
        <v>2261612</v>
      </c>
      <c r="J36" s="179">
        <v>832153</v>
      </c>
      <c r="K36" s="179">
        <v>396971</v>
      </c>
      <c r="L36" s="179">
        <v>84191</v>
      </c>
      <c r="M36" s="179">
        <v>195790</v>
      </c>
      <c r="N36" s="179">
        <v>1231630</v>
      </c>
      <c r="O36" s="179">
        <v>125489</v>
      </c>
      <c r="P36" s="179">
        <v>75952</v>
      </c>
      <c r="Q36" s="179">
        <v>348959</v>
      </c>
      <c r="R36" s="179">
        <v>113957</v>
      </c>
      <c r="S36" s="179">
        <v>130519</v>
      </c>
      <c r="T36" s="179">
        <v>40349</v>
      </c>
      <c r="U36" s="179">
        <v>37602</v>
      </c>
      <c r="V36" s="179">
        <v>33619</v>
      </c>
      <c r="W36" s="179">
        <v>213556</v>
      </c>
      <c r="X36" s="179">
        <v>71932</v>
      </c>
      <c r="Y36" s="179">
        <v>32970</v>
      </c>
      <c r="Z36" s="179">
        <v>74328</v>
      </c>
      <c r="AA36" s="179">
        <v>355387</v>
      </c>
      <c r="AB36" s="179">
        <v>3312</v>
      </c>
      <c r="AC36" s="179">
        <v>27276</v>
      </c>
      <c r="AD36" s="179">
        <v>13027</v>
      </c>
      <c r="AE36" s="179">
        <v>30182</v>
      </c>
      <c r="AF36" s="179">
        <v>32169</v>
      </c>
      <c r="AG36" s="179">
        <v>13</v>
      </c>
      <c r="AH36" s="179">
        <v>19393</v>
      </c>
      <c r="AI36" s="179">
        <v>43863</v>
      </c>
      <c r="AJ36" s="179">
        <v>4960</v>
      </c>
      <c r="AK36" s="179">
        <v>88</v>
      </c>
      <c r="AL36" s="179">
        <v>69803</v>
      </c>
      <c r="AM36" s="179">
        <v>16687</v>
      </c>
      <c r="AO36" s="164">
        <f>SUM(C36:AM36)</f>
        <v>36153032</v>
      </c>
      <c r="AP36" s="164"/>
    </row>
    <row r="37" spans="1:42" ht="12.75" customHeight="1">
      <c r="A37" s="164" t="s">
        <v>108</v>
      </c>
      <c r="B37" s="164"/>
      <c r="C37" s="179">
        <v>0</v>
      </c>
      <c r="D37" s="179">
        <v>0</v>
      </c>
      <c r="E37" s="179">
        <v>0</v>
      </c>
      <c r="F37" s="179">
        <v>0</v>
      </c>
      <c r="G37" s="179">
        <v>0</v>
      </c>
      <c r="H37" s="179">
        <v>0</v>
      </c>
      <c r="I37" s="179">
        <v>0</v>
      </c>
      <c r="J37" s="179">
        <v>0</v>
      </c>
      <c r="K37" s="179">
        <v>0</v>
      </c>
      <c r="L37" s="179">
        <v>0</v>
      </c>
      <c r="M37" s="179">
        <v>0</v>
      </c>
      <c r="N37" s="179">
        <v>30940</v>
      </c>
      <c r="O37" s="179">
        <v>0</v>
      </c>
      <c r="P37" s="179">
        <v>0</v>
      </c>
      <c r="Q37" s="179">
        <v>0</v>
      </c>
      <c r="R37" s="179">
        <v>0</v>
      </c>
      <c r="S37" s="179">
        <v>0</v>
      </c>
      <c r="T37" s="179">
        <v>0</v>
      </c>
      <c r="U37" s="179">
        <v>5497</v>
      </c>
      <c r="V37" s="179">
        <v>129082</v>
      </c>
      <c r="W37" s="179">
        <v>0</v>
      </c>
      <c r="X37" s="179">
        <v>0</v>
      </c>
      <c r="Y37" s="179">
        <v>0</v>
      </c>
      <c r="Z37" s="179">
        <v>0</v>
      </c>
      <c r="AA37" s="179">
        <v>0</v>
      </c>
      <c r="AB37" s="179">
        <v>2726</v>
      </c>
      <c r="AC37" s="179">
        <v>0</v>
      </c>
      <c r="AD37" s="179">
        <v>0</v>
      </c>
      <c r="AE37" s="179">
        <v>0</v>
      </c>
      <c r="AF37" s="179">
        <v>0</v>
      </c>
      <c r="AG37" s="179">
        <v>0</v>
      </c>
      <c r="AH37" s="179">
        <v>0</v>
      </c>
      <c r="AI37" s="179">
        <v>0</v>
      </c>
      <c r="AJ37" s="179">
        <v>0</v>
      </c>
      <c r="AK37" s="179">
        <v>0</v>
      </c>
      <c r="AL37" s="179">
        <v>0</v>
      </c>
      <c r="AM37" s="179">
        <v>0</v>
      </c>
      <c r="AO37" s="164">
        <f>SUM(C37:AM37)</f>
        <v>168245</v>
      </c>
      <c r="AP37" s="164"/>
    </row>
    <row r="38" spans="1:42" ht="12.75" customHeight="1">
      <c r="A38" s="177" t="s">
        <v>109</v>
      </c>
      <c r="B38" s="177"/>
      <c r="C38" s="188">
        <f>SUM(C35:C37)</f>
        <v>11902390</v>
      </c>
      <c r="D38" s="188">
        <f aca="true" t="shared" si="7" ref="D38:AK38">SUM(D35:D37)</f>
        <v>6003798</v>
      </c>
      <c r="E38" s="188">
        <f t="shared" si="7"/>
        <v>9034835</v>
      </c>
      <c r="F38" s="188">
        <f t="shared" si="7"/>
        <v>1304860</v>
      </c>
      <c r="G38" s="188">
        <f t="shared" si="7"/>
        <v>747030</v>
      </c>
      <c r="H38" s="188">
        <f>SUM(H35:H37)</f>
        <v>347118</v>
      </c>
      <c r="I38" s="188">
        <f t="shared" si="7"/>
        <v>2284973</v>
      </c>
      <c r="J38" s="188">
        <f t="shared" si="7"/>
        <v>832153</v>
      </c>
      <c r="K38" s="188">
        <f t="shared" si="7"/>
        <v>418930</v>
      </c>
      <c r="L38" s="188">
        <f t="shared" si="7"/>
        <v>86497</v>
      </c>
      <c r="M38" s="188">
        <f>SUM(M35:M37)</f>
        <v>195790</v>
      </c>
      <c r="N38" s="188">
        <f t="shared" si="7"/>
        <v>1263475</v>
      </c>
      <c r="O38" s="188">
        <f t="shared" si="7"/>
        <v>132690</v>
      </c>
      <c r="P38" s="188">
        <f>SUM(P35:P37)</f>
        <v>75952</v>
      </c>
      <c r="Q38" s="188">
        <f>SUM(Q35:Q37)</f>
        <v>354430</v>
      </c>
      <c r="R38" s="188">
        <f t="shared" si="7"/>
        <v>114473</v>
      </c>
      <c r="S38" s="188">
        <f>SUM(S35:S37)</f>
        <v>132412</v>
      </c>
      <c r="T38" s="188">
        <f t="shared" si="7"/>
        <v>41810</v>
      </c>
      <c r="U38" s="188">
        <f t="shared" si="7"/>
        <v>44566</v>
      </c>
      <c r="V38" s="188">
        <f t="shared" si="7"/>
        <v>162701</v>
      </c>
      <c r="W38" s="188">
        <f t="shared" si="7"/>
        <v>213556</v>
      </c>
      <c r="X38" s="188">
        <f>SUM(X35:X37)</f>
        <v>71932</v>
      </c>
      <c r="Y38" s="188">
        <f t="shared" si="7"/>
        <v>32970</v>
      </c>
      <c r="Z38" s="188">
        <f>SUM(Z35:Z37)</f>
        <v>74328</v>
      </c>
      <c r="AA38" s="188">
        <f t="shared" si="7"/>
        <v>356043</v>
      </c>
      <c r="AB38" s="188">
        <f>SUM(AB35:AB37)</f>
        <v>6038</v>
      </c>
      <c r="AC38" s="188">
        <f>SUM(AC35:AC37)</f>
        <v>27276</v>
      </c>
      <c r="AD38" s="188">
        <f>SUM(AD35:AD37)</f>
        <v>13027</v>
      </c>
      <c r="AE38" s="188">
        <f>SUM(AE35:AE37)</f>
        <v>30182</v>
      </c>
      <c r="AF38" s="188">
        <f>SUM(AF35:AF37)</f>
        <v>32169</v>
      </c>
      <c r="AG38" s="188">
        <f>SUM(AG36:AG37)</f>
        <v>13</v>
      </c>
      <c r="AH38" s="188">
        <f>SUM(AH35:AH37)</f>
        <v>19393</v>
      </c>
      <c r="AI38" s="188">
        <f>SUM(AI35:AI37)</f>
        <v>43863</v>
      </c>
      <c r="AJ38" s="188">
        <f>SUM(AJ35:AJ37)</f>
        <v>4960</v>
      </c>
      <c r="AK38" s="188">
        <f t="shared" si="7"/>
        <v>88</v>
      </c>
      <c r="AL38" s="188">
        <f>SUM(AL35:AL37)</f>
        <v>69803</v>
      </c>
      <c r="AM38" s="188">
        <f>SUM(AM35:AM37)</f>
        <v>16687</v>
      </c>
      <c r="AN38" s="188"/>
      <c r="AO38" s="188">
        <f>SUM(AO35:AO37)</f>
        <v>36493211</v>
      </c>
      <c r="AP38" s="164"/>
    </row>
    <row r="39" spans="1:42" ht="12.75" customHeight="1">
      <c r="A39" s="176"/>
      <c r="B39" s="176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O39" s="164"/>
      <c r="AP39" s="164"/>
    </row>
    <row r="40" spans="1:42" ht="12.75" customHeight="1">
      <c r="A40" s="164" t="s">
        <v>569</v>
      </c>
      <c r="B40" s="164"/>
      <c r="C40" s="188">
        <v>0</v>
      </c>
      <c r="D40" s="189">
        <v>0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9">
        <v>0</v>
      </c>
      <c r="V40" s="188">
        <v>0</v>
      </c>
      <c r="W40" s="188">
        <v>0</v>
      </c>
      <c r="X40" s="188">
        <v>0</v>
      </c>
      <c r="Y40" s="188">
        <v>0</v>
      </c>
      <c r="Z40" s="188">
        <v>0</v>
      </c>
      <c r="AA40" s="188">
        <v>0</v>
      </c>
      <c r="AB40" s="188"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v>0</v>
      </c>
      <c r="AK40" s="188">
        <v>0</v>
      </c>
      <c r="AL40" s="188">
        <v>0</v>
      </c>
      <c r="AM40" s="188">
        <v>0</v>
      </c>
      <c r="AO40" s="164">
        <f>SUM(C40:AM40)</f>
        <v>0</v>
      </c>
      <c r="AP40" s="164"/>
    </row>
    <row r="41" spans="1:42" ht="12.75" customHeight="1">
      <c r="A41" s="164"/>
      <c r="B41" s="164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O41" s="164"/>
      <c r="AP41" s="164"/>
    </row>
    <row r="42" spans="1:42" ht="12.75" customHeight="1">
      <c r="A42" s="193" t="s">
        <v>435</v>
      </c>
      <c r="B42" s="193"/>
      <c r="C42" s="188">
        <f>+C7+C26+C32+C38+C40</f>
        <v>317864596</v>
      </c>
      <c r="D42" s="188">
        <f aca="true" t="shared" si="8" ref="D42:AK42">+D7+D26+D32+D38+D40</f>
        <v>269368870</v>
      </c>
      <c r="E42" s="188">
        <f t="shared" si="8"/>
        <v>239060777</v>
      </c>
      <c r="F42" s="188">
        <f t="shared" si="8"/>
        <v>96594794</v>
      </c>
      <c r="G42" s="188">
        <f t="shared" si="8"/>
        <v>92829521</v>
      </c>
      <c r="H42" s="188">
        <f>+H7+H26+H32+H38+H40</f>
        <v>92112867</v>
      </c>
      <c r="I42" s="188">
        <f t="shared" si="8"/>
        <v>82544177</v>
      </c>
      <c r="J42" s="188">
        <f t="shared" si="8"/>
        <v>66309456</v>
      </c>
      <c r="K42" s="188">
        <f t="shared" si="8"/>
        <v>56028923</v>
      </c>
      <c r="L42" s="188">
        <f t="shared" si="8"/>
        <v>55561276</v>
      </c>
      <c r="M42" s="188">
        <f>+M7+M26+M32+M38+M40</f>
        <v>40330381</v>
      </c>
      <c r="N42" s="188">
        <f t="shared" si="8"/>
        <v>38161100</v>
      </c>
      <c r="O42" s="188">
        <f t="shared" si="8"/>
        <v>30696750</v>
      </c>
      <c r="P42" s="188">
        <f>+P7+P26+P32+P38+P40</f>
        <v>30095999</v>
      </c>
      <c r="Q42" s="188">
        <f>+Q7+Q26+Q32+Q38+Q40</f>
        <v>28424669</v>
      </c>
      <c r="R42" s="188">
        <f t="shared" si="8"/>
        <v>27793129</v>
      </c>
      <c r="S42" s="188">
        <f>+S7+S26+S32+S38+S40</f>
        <v>23374461</v>
      </c>
      <c r="T42" s="188">
        <f t="shared" si="8"/>
        <v>23208801</v>
      </c>
      <c r="U42" s="188">
        <f t="shared" si="8"/>
        <v>21622728</v>
      </c>
      <c r="V42" s="188">
        <f t="shared" si="8"/>
        <v>15631046</v>
      </c>
      <c r="W42" s="188">
        <f t="shared" si="8"/>
        <v>12974259</v>
      </c>
      <c r="X42" s="188">
        <f>+X7+X26+X32+X38+X40</f>
        <v>10148626</v>
      </c>
      <c r="Y42" s="188">
        <f t="shared" si="8"/>
        <v>7230035</v>
      </c>
      <c r="Z42" s="188">
        <f>+Z7+Z26+Z32+Z38+Z40</f>
        <v>5935385</v>
      </c>
      <c r="AA42" s="188">
        <f t="shared" si="8"/>
        <v>4277591</v>
      </c>
      <c r="AB42" s="188">
        <f aca="true" t="shared" si="9" ref="AB42:AJ42">+AB7+AB26+AB32+AB38+AB40</f>
        <v>2795956</v>
      </c>
      <c r="AC42" s="188">
        <f t="shared" si="9"/>
        <v>2526379</v>
      </c>
      <c r="AD42" s="188">
        <f>+AD7+AD26+AD32+AD38+AD40</f>
        <v>2263953</v>
      </c>
      <c r="AE42" s="188">
        <f t="shared" si="9"/>
        <v>2238036</v>
      </c>
      <c r="AF42" s="188">
        <f t="shared" si="9"/>
        <v>1166025</v>
      </c>
      <c r="AG42" s="188">
        <f t="shared" si="9"/>
        <v>762871</v>
      </c>
      <c r="AH42" s="188">
        <f t="shared" si="9"/>
        <v>486080</v>
      </c>
      <c r="AI42" s="188">
        <f t="shared" si="9"/>
        <v>472544</v>
      </c>
      <c r="AJ42" s="188">
        <f t="shared" si="9"/>
        <v>455624</v>
      </c>
      <c r="AK42" s="188">
        <f t="shared" si="8"/>
        <v>173802</v>
      </c>
      <c r="AL42" s="188">
        <f>+AL7+AL26+AL32+AL38+AL40</f>
        <v>71180</v>
      </c>
      <c r="AM42" s="188">
        <f>+AM7+AM26+AM32+AM38+AM40</f>
        <v>39014</v>
      </c>
      <c r="AN42" s="188"/>
      <c r="AO42" s="188">
        <f>+AO7+AO26+AO32+AO38+AO40</f>
        <v>1701631681</v>
      </c>
      <c r="AP42" s="164"/>
    </row>
    <row r="43" spans="1:42" ht="12.75" customHeight="1">
      <c r="A43" s="174"/>
      <c r="B43" s="174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O43" s="164"/>
      <c r="AP43" s="164"/>
    </row>
    <row r="44" spans="1:42" ht="12.75" customHeight="1">
      <c r="A44" s="176" t="s">
        <v>436</v>
      </c>
      <c r="B44" s="176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O44" s="164"/>
      <c r="AP44" s="164"/>
    </row>
    <row r="45" spans="1:42" ht="12.75" customHeight="1">
      <c r="A45" s="174"/>
      <c r="B45" s="174"/>
      <c r="C45" s="188"/>
      <c r="D45" s="189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9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O45" s="164"/>
      <c r="AP45" s="164"/>
    </row>
    <row r="46" spans="1:42" ht="12.75" customHeight="1">
      <c r="A46" s="174" t="s">
        <v>570</v>
      </c>
      <c r="B46" s="174"/>
      <c r="C46" s="189">
        <v>71186</v>
      </c>
      <c r="D46" s="189">
        <v>0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88">
        <v>0</v>
      </c>
      <c r="K46" s="188">
        <v>0</v>
      </c>
      <c r="L46" s="189">
        <v>0</v>
      </c>
      <c r="M46" s="188">
        <v>0</v>
      </c>
      <c r="N46" s="188">
        <v>0</v>
      </c>
      <c r="O46" s="189">
        <v>0</v>
      </c>
      <c r="P46" s="188">
        <v>0</v>
      </c>
      <c r="Q46" s="188">
        <v>0</v>
      </c>
      <c r="R46" s="188">
        <v>0</v>
      </c>
      <c r="S46" s="188">
        <v>0</v>
      </c>
      <c r="T46" s="189">
        <v>6426</v>
      </c>
      <c r="U46" s="189">
        <v>0</v>
      </c>
      <c r="V46" s="188">
        <v>0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v>0</v>
      </c>
      <c r="AK46" s="188">
        <v>0</v>
      </c>
      <c r="AL46" s="188">
        <v>0</v>
      </c>
      <c r="AM46" s="188">
        <v>0</v>
      </c>
      <c r="AO46" s="164">
        <f>SUM(C46:AM46)</f>
        <v>77612</v>
      </c>
      <c r="AP46" s="164"/>
    </row>
    <row r="47" spans="1:42" ht="12.75" customHeight="1">
      <c r="A47" s="174"/>
      <c r="B47" s="174"/>
      <c r="C47" s="189"/>
      <c r="D47" s="189"/>
      <c r="E47" s="188"/>
      <c r="F47" s="188"/>
      <c r="G47" s="188"/>
      <c r="H47" s="188"/>
      <c r="I47" s="188"/>
      <c r="J47" s="188"/>
      <c r="K47" s="188"/>
      <c r="L47" s="189"/>
      <c r="M47" s="188"/>
      <c r="N47" s="188"/>
      <c r="O47" s="189"/>
      <c r="P47" s="188"/>
      <c r="Q47" s="188"/>
      <c r="R47" s="188"/>
      <c r="S47" s="188"/>
      <c r="T47" s="189"/>
      <c r="U47" s="189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O47" s="164"/>
      <c r="AP47" s="164"/>
    </row>
    <row r="48" spans="1:42" ht="12.75" customHeight="1">
      <c r="A48" s="174" t="s">
        <v>571</v>
      </c>
      <c r="B48" s="174"/>
      <c r="C48" s="189"/>
      <c r="D48" s="189"/>
      <c r="E48" s="188"/>
      <c r="F48" s="188"/>
      <c r="G48" s="188"/>
      <c r="H48" s="188"/>
      <c r="I48" s="188"/>
      <c r="J48" s="188"/>
      <c r="K48" s="188"/>
      <c r="L48" s="189"/>
      <c r="M48" s="188"/>
      <c r="N48" s="188"/>
      <c r="O48" s="189"/>
      <c r="P48" s="188"/>
      <c r="Q48" s="188"/>
      <c r="R48" s="188"/>
      <c r="S48" s="188"/>
      <c r="T48" s="189"/>
      <c r="U48" s="189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O48" s="164"/>
      <c r="AP48" s="164"/>
    </row>
    <row r="49" spans="1:42" ht="12.75" customHeight="1">
      <c r="A49" s="164" t="s">
        <v>115</v>
      </c>
      <c r="B49" s="164"/>
      <c r="C49" s="179">
        <v>0</v>
      </c>
      <c r="D49" s="179">
        <v>0</v>
      </c>
      <c r="E49" s="179">
        <v>0</v>
      </c>
      <c r="F49" s="179">
        <v>0</v>
      </c>
      <c r="G49" s="179">
        <v>0</v>
      </c>
      <c r="H49" s="179">
        <v>0</v>
      </c>
      <c r="I49" s="179">
        <v>0</v>
      </c>
      <c r="J49" s="179">
        <v>0</v>
      </c>
      <c r="K49" s="179">
        <v>0</v>
      </c>
      <c r="L49" s="179">
        <v>0</v>
      </c>
      <c r="M49" s="179">
        <v>0</v>
      </c>
      <c r="N49" s="179">
        <v>0</v>
      </c>
      <c r="O49" s="179">
        <v>0</v>
      </c>
      <c r="P49" s="179">
        <v>0</v>
      </c>
      <c r="Q49" s="179">
        <v>0</v>
      </c>
      <c r="R49" s="179">
        <v>0</v>
      </c>
      <c r="S49" s="179">
        <v>0</v>
      </c>
      <c r="T49" s="179">
        <v>0</v>
      </c>
      <c r="U49" s="179">
        <v>0</v>
      </c>
      <c r="V49" s="179">
        <v>0</v>
      </c>
      <c r="W49" s="179">
        <v>0</v>
      </c>
      <c r="X49" s="179">
        <v>0</v>
      </c>
      <c r="Y49" s="179">
        <v>0</v>
      </c>
      <c r="Z49" s="179">
        <v>0</v>
      </c>
      <c r="AA49" s="179">
        <v>0</v>
      </c>
      <c r="AB49" s="179">
        <v>0</v>
      </c>
      <c r="AC49" s="179">
        <v>0</v>
      </c>
      <c r="AD49" s="179">
        <v>0</v>
      </c>
      <c r="AE49" s="179">
        <v>0</v>
      </c>
      <c r="AF49" s="179">
        <v>0</v>
      </c>
      <c r="AG49" s="179">
        <v>0</v>
      </c>
      <c r="AH49" s="179">
        <v>0</v>
      </c>
      <c r="AI49" s="179">
        <v>0</v>
      </c>
      <c r="AJ49" s="179">
        <v>0</v>
      </c>
      <c r="AK49" s="179">
        <v>0</v>
      </c>
      <c r="AL49" s="179">
        <v>0</v>
      </c>
      <c r="AM49" s="179">
        <v>0</v>
      </c>
      <c r="AO49" s="164">
        <f>SUM(C49:AM49)</f>
        <v>0</v>
      </c>
      <c r="AP49" s="164"/>
    </row>
    <row r="50" spans="1:42" ht="12.75" customHeight="1">
      <c r="A50" s="164" t="s">
        <v>116</v>
      </c>
      <c r="B50" s="164"/>
      <c r="C50" s="179">
        <v>0</v>
      </c>
      <c r="D50" s="179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62434</v>
      </c>
      <c r="Q50" s="179">
        <v>0</v>
      </c>
      <c r="R50" s="179">
        <v>0</v>
      </c>
      <c r="S50" s="179">
        <v>0</v>
      </c>
      <c r="T50" s="179">
        <v>0</v>
      </c>
      <c r="U50" s="179">
        <v>0</v>
      </c>
      <c r="V50" s="179">
        <v>0</v>
      </c>
      <c r="W50" s="179">
        <v>0</v>
      </c>
      <c r="X50" s="179">
        <v>0</v>
      </c>
      <c r="Y50" s="179">
        <v>5871</v>
      </c>
      <c r="Z50" s="179">
        <v>0</v>
      </c>
      <c r="AA50" s="179">
        <v>0</v>
      </c>
      <c r="AB50" s="179">
        <v>0</v>
      </c>
      <c r="AC50" s="179">
        <v>0</v>
      </c>
      <c r="AD50" s="179">
        <v>0</v>
      </c>
      <c r="AE50" s="179">
        <v>0</v>
      </c>
      <c r="AF50" s="179">
        <v>0</v>
      </c>
      <c r="AG50" s="179">
        <v>0</v>
      </c>
      <c r="AH50" s="179">
        <v>0</v>
      </c>
      <c r="AI50" s="179">
        <v>0</v>
      </c>
      <c r="AJ50" s="179">
        <v>0</v>
      </c>
      <c r="AK50" s="179">
        <v>0</v>
      </c>
      <c r="AL50" s="179">
        <v>0</v>
      </c>
      <c r="AM50" s="179">
        <v>0</v>
      </c>
      <c r="AO50" s="164">
        <f>SUM(C50:AM50)</f>
        <v>68305</v>
      </c>
      <c r="AP50" s="164"/>
    </row>
    <row r="51" spans="1:42" ht="12.75" customHeight="1">
      <c r="A51" s="174" t="s">
        <v>117</v>
      </c>
      <c r="B51" s="174"/>
      <c r="C51" s="179">
        <v>0</v>
      </c>
      <c r="D51" s="179">
        <v>0</v>
      </c>
      <c r="E51" s="179">
        <v>0</v>
      </c>
      <c r="F51" s="179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179">
        <v>0</v>
      </c>
      <c r="Q51" s="179">
        <v>0</v>
      </c>
      <c r="R51" s="179">
        <v>0</v>
      </c>
      <c r="S51" s="179">
        <v>0</v>
      </c>
      <c r="T51" s="179">
        <v>0</v>
      </c>
      <c r="U51" s="179">
        <v>0</v>
      </c>
      <c r="V51" s="179">
        <v>0</v>
      </c>
      <c r="W51" s="179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0</v>
      </c>
      <c r="AE51" s="179">
        <v>0</v>
      </c>
      <c r="AF51" s="179">
        <v>0</v>
      </c>
      <c r="AG51" s="179">
        <v>0</v>
      </c>
      <c r="AH51" s="179">
        <v>0</v>
      </c>
      <c r="AI51" s="179">
        <v>0</v>
      </c>
      <c r="AJ51" s="179">
        <v>0</v>
      </c>
      <c r="AK51" s="179">
        <v>0</v>
      </c>
      <c r="AL51" s="179">
        <v>0</v>
      </c>
      <c r="AM51" s="179">
        <v>0</v>
      </c>
      <c r="AO51" s="164">
        <f>SUM(C51:AM51)</f>
        <v>0</v>
      </c>
      <c r="AP51" s="164"/>
    </row>
    <row r="52" spans="1:42" ht="12.75" customHeight="1">
      <c r="A52" s="164" t="s">
        <v>118</v>
      </c>
      <c r="B52" s="164"/>
      <c r="C52" s="179">
        <v>951912</v>
      </c>
      <c r="D52" s="179">
        <v>299520</v>
      </c>
      <c r="E52" s="179">
        <v>828931</v>
      </c>
      <c r="F52" s="179">
        <v>3121</v>
      </c>
      <c r="G52" s="179">
        <v>167842</v>
      </c>
      <c r="H52" s="179">
        <v>123364</v>
      </c>
      <c r="I52" s="179">
        <v>392636</v>
      </c>
      <c r="J52" s="179">
        <v>281352</v>
      </c>
      <c r="K52" s="179">
        <v>27442</v>
      </c>
      <c r="L52" s="179">
        <v>265883</v>
      </c>
      <c r="M52" s="179">
        <v>51403</v>
      </c>
      <c r="N52" s="179">
        <v>102495</v>
      </c>
      <c r="O52" s="179">
        <v>13838</v>
      </c>
      <c r="P52" s="179">
        <v>180168</v>
      </c>
      <c r="Q52" s="179">
        <v>16162</v>
      </c>
      <c r="R52" s="179">
        <v>169315</v>
      </c>
      <c r="S52" s="179">
        <v>2225</v>
      </c>
      <c r="T52" s="179">
        <v>70093</v>
      </c>
      <c r="U52" s="179">
        <v>19476</v>
      </c>
      <c r="V52" s="179">
        <v>11278</v>
      </c>
      <c r="W52" s="179">
        <v>19879</v>
      </c>
      <c r="X52" s="179">
        <v>19136</v>
      </c>
      <c r="Y52" s="179">
        <v>0</v>
      </c>
      <c r="Z52" s="179">
        <v>13568</v>
      </c>
      <c r="AA52" s="179">
        <v>1041</v>
      </c>
      <c r="AB52" s="179">
        <v>7189</v>
      </c>
      <c r="AC52" s="179">
        <v>21299</v>
      </c>
      <c r="AD52" s="179">
        <v>2236</v>
      </c>
      <c r="AE52" s="179">
        <v>2449</v>
      </c>
      <c r="AF52" s="179">
        <v>19819</v>
      </c>
      <c r="AG52" s="179">
        <v>1161</v>
      </c>
      <c r="AH52" s="179">
        <v>4602</v>
      </c>
      <c r="AI52" s="179">
        <v>0</v>
      </c>
      <c r="AJ52" s="179">
        <v>6056</v>
      </c>
      <c r="AK52" s="179">
        <v>1309</v>
      </c>
      <c r="AL52" s="179">
        <v>0</v>
      </c>
      <c r="AM52" s="179">
        <v>33326</v>
      </c>
      <c r="AO52" s="164">
        <f>SUM(C52:AM52)</f>
        <v>4131526</v>
      </c>
      <c r="AP52" s="164"/>
    </row>
    <row r="53" spans="1:42" ht="12.75" customHeight="1">
      <c r="A53" s="177" t="s">
        <v>119</v>
      </c>
      <c r="B53" s="177"/>
      <c r="C53" s="189">
        <f>SUM(C49:C52)</f>
        <v>951912</v>
      </c>
      <c r="D53" s="189">
        <f aca="true" t="shared" si="10" ref="D53:AK53">SUM(D49:D52)</f>
        <v>299520</v>
      </c>
      <c r="E53" s="189">
        <f t="shared" si="10"/>
        <v>828931</v>
      </c>
      <c r="F53" s="189">
        <f t="shared" si="10"/>
        <v>3121</v>
      </c>
      <c r="G53" s="189">
        <f t="shared" si="10"/>
        <v>167842</v>
      </c>
      <c r="H53" s="189">
        <f>SUM(H49:H52)</f>
        <v>123364</v>
      </c>
      <c r="I53" s="189">
        <f t="shared" si="10"/>
        <v>392636</v>
      </c>
      <c r="J53" s="189">
        <f t="shared" si="10"/>
        <v>281352</v>
      </c>
      <c r="K53" s="189">
        <f t="shared" si="10"/>
        <v>27442</v>
      </c>
      <c r="L53" s="189">
        <f t="shared" si="10"/>
        <v>265883</v>
      </c>
      <c r="M53" s="189">
        <f>SUM(M49:M52)</f>
        <v>51403</v>
      </c>
      <c r="N53" s="189">
        <f t="shared" si="10"/>
        <v>102495</v>
      </c>
      <c r="O53" s="189">
        <f t="shared" si="10"/>
        <v>13838</v>
      </c>
      <c r="P53" s="189">
        <f>SUM(P49:P52)</f>
        <v>242602</v>
      </c>
      <c r="Q53" s="189">
        <f>SUM(Q49:Q52)</f>
        <v>16162</v>
      </c>
      <c r="R53" s="189">
        <f t="shared" si="10"/>
        <v>169315</v>
      </c>
      <c r="S53" s="189">
        <f>SUM(S49:S52)</f>
        <v>2225</v>
      </c>
      <c r="T53" s="189">
        <f t="shared" si="10"/>
        <v>70093</v>
      </c>
      <c r="U53" s="189">
        <f t="shared" si="10"/>
        <v>19476</v>
      </c>
      <c r="V53" s="189">
        <f t="shared" si="10"/>
        <v>11278</v>
      </c>
      <c r="W53" s="189">
        <f t="shared" si="10"/>
        <v>19879</v>
      </c>
      <c r="X53" s="189">
        <f>SUM(X49:X52)</f>
        <v>19136</v>
      </c>
      <c r="Y53" s="189">
        <f t="shared" si="10"/>
        <v>5871</v>
      </c>
      <c r="Z53" s="189">
        <f>SUM(Z49:Z52)</f>
        <v>13568</v>
      </c>
      <c r="AA53" s="189">
        <f t="shared" si="10"/>
        <v>1041</v>
      </c>
      <c r="AB53" s="189">
        <f aca="true" t="shared" si="11" ref="AB53:AJ53">SUM(AB49:AB52)</f>
        <v>7189</v>
      </c>
      <c r="AC53" s="189">
        <f t="shared" si="11"/>
        <v>21299</v>
      </c>
      <c r="AD53" s="189">
        <f>SUM(AD49:AD52)</f>
        <v>2236</v>
      </c>
      <c r="AE53" s="189">
        <f t="shared" si="11"/>
        <v>2449</v>
      </c>
      <c r="AF53" s="189">
        <f t="shared" si="11"/>
        <v>19819</v>
      </c>
      <c r="AG53" s="189">
        <f t="shared" si="11"/>
        <v>1161</v>
      </c>
      <c r="AH53" s="189">
        <f t="shared" si="11"/>
        <v>4602</v>
      </c>
      <c r="AI53" s="189">
        <f t="shared" si="11"/>
        <v>0</v>
      </c>
      <c r="AJ53" s="189">
        <f t="shared" si="11"/>
        <v>6056</v>
      </c>
      <c r="AK53" s="189">
        <f t="shared" si="10"/>
        <v>1309</v>
      </c>
      <c r="AL53" s="189">
        <f>SUM(AL49:AL52)</f>
        <v>0</v>
      </c>
      <c r="AM53" s="189">
        <f>SUM(AM49:AM52)</f>
        <v>33326</v>
      </c>
      <c r="AN53" s="189"/>
      <c r="AO53" s="189">
        <f>SUM(AO49:AO52)</f>
        <v>4199831</v>
      </c>
      <c r="AP53" s="164"/>
    </row>
    <row r="54" spans="1:42" ht="12.75" customHeight="1">
      <c r="A54" s="176"/>
      <c r="B54" s="176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O54" s="164"/>
      <c r="AP54" s="164"/>
    </row>
    <row r="55" spans="1:42" ht="12.75" customHeight="1">
      <c r="A55" s="176" t="s">
        <v>437</v>
      </c>
      <c r="B55" s="176"/>
      <c r="C55" s="188">
        <v>0</v>
      </c>
      <c r="D55" s="189">
        <v>0</v>
      </c>
      <c r="E55" s="188">
        <v>0</v>
      </c>
      <c r="F55" s="189">
        <v>19156</v>
      </c>
      <c r="G55" s="188">
        <v>0</v>
      </c>
      <c r="H55" s="188">
        <v>0</v>
      </c>
      <c r="I55" s="188">
        <v>0</v>
      </c>
      <c r="J55" s="188">
        <v>0</v>
      </c>
      <c r="K55" s="188">
        <v>0</v>
      </c>
      <c r="L55" s="188">
        <v>0</v>
      </c>
      <c r="M55" s="188">
        <v>0</v>
      </c>
      <c r="N55" s="188">
        <v>0</v>
      </c>
      <c r="O55" s="188">
        <v>0</v>
      </c>
      <c r="P55" s="189">
        <v>108259</v>
      </c>
      <c r="Q55" s="188">
        <v>0</v>
      </c>
      <c r="R55" s="188">
        <v>0</v>
      </c>
      <c r="S55" s="188">
        <v>0</v>
      </c>
      <c r="T55" s="188">
        <v>0</v>
      </c>
      <c r="U55" s="188">
        <v>0</v>
      </c>
      <c r="V55" s="189">
        <v>12211</v>
      </c>
      <c r="W55" s="188">
        <v>0</v>
      </c>
      <c r="X55" s="188">
        <v>5870</v>
      </c>
      <c r="Y55" s="188">
        <v>1165</v>
      </c>
      <c r="Z55" s="188">
        <v>0</v>
      </c>
      <c r="AA55" s="188">
        <v>0</v>
      </c>
      <c r="AB55" s="188">
        <v>0</v>
      </c>
      <c r="AC55" s="188">
        <v>0</v>
      </c>
      <c r="AD55" s="188">
        <v>0</v>
      </c>
      <c r="AE55" s="188">
        <v>0</v>
      </c>
      <c r="AF55" s="188">
        <v>0</v>
      </c>
      <c r="AG55" s="188">
        <v>0</v>
      </c>
      <c r="AH55" s="188">
        <v>0</v>
      </c>
      <c r="AI55" s="188">
        <v>0</v>
      </c>
      <c r="AJ55" s="188">
        <v>0</v>
      </c>
      <c r="AK55" s="188">
        <v>0</v>
      </c>
      <c r="AL55" s="188">
        <v>0</v>
      </c>
      <c r="AM55" s="188">
        <v>0</v>
      </c>
      <c r="AO55" s="164">
        <f>SUM(C55:AM55)</f>
        <v>146661</v>
      </c>
      <c r="AP55" s="164"/>
    </row>
    <row r="56" spans="1:42" ht="12.75" customHeight="1">
      <c r="A56" s="194"/>
      <c r="B56" s="19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O56" s="164"/>
      <c r="AP56" s="164"/>
    </row>
    <row r="57" spans="1:42" ht="12.75" customHeight="1">
      <c r="A57" s="193" t="s">
        <v>572</v>
      </c>
      <c r="B57" s="193"/>
      <c r="C57" s="178">
        <f>+C46+C53+C55</f>
        <v>1023098</v>
      </c>
      <c r="D57" s="178">
        <f aca="true" t="shared" si="12" ref="D57:AK57">+D46+D53+D55</f>
        <v>299520</v>
      </c>
      <c r="E57" s="178">
        <f t="shared" si="12"/>
        <v>828931</v>
      </c>
      <c r="F57" s="178">
        <f t="shared" si="12"/>
        <v>22277</v>
      </c>
      <c r="G57" s="178">
        <f t="shared" si="12"/>
        <v>167842</v>
      </c>
      <c r="H57" s="178">
        <f>+H46+H53+H55</f>
        <v>123364</v>
      </c>
      <c r="I57" s="178">
        <f t="shared" si="12"/>
        <v>392636</v>
      </c>
      <c r="J57" s="178">
        <f t="shared" si="12"/>
        <v>281352</v>
      </c>
      <c r="K57" s="178">
        <f t="shared" si="12"/>
        <v>27442</v>
      </c>
      <c r="L57" s="178">
        <f t="shared" si="12"/>
        <v>265883</v>
      </c>
      <c r="M57" s="178">
        <f>+M46+M53+M55</f>
        <v>51403</v>
      </c>
      <c r="N57" s="178">
        <f t="shared" si="12"/>
        <v>102495</v>
      </c>
      <c r="O57" s="178">
        <f t="shared" si="12"/>
        <v>13838</v>
      </c>
      <c r="P57" s="178">
        <f>+P46+P53+P55</f>
        <v>350861</v>
      </c>
      <c r="Q57" s="178">
        <f>+Q46+Q53+Q55</f>
        <v>16162</v>
      </c>
      <c r="R57" s="178">
        <f t="shared" si="12"/>
        <v>169315</v>
      </c>
      <c r="S57" s="178">
        <f>+S46+S53+S55</f>
        <v>2225</v>
      </c>
      <c r="T57" s="178">
        <f t="shared" si="12"/>
        <v>76519</v>
      </c>
      <c r="U57" s="178">
        <f t="shared" si="12"/>
        <v>19476</v>
      </c>
      <c r="V57" s="178">
        <f t="shared" si="12"/>
        <v>23489</v>
      </c>
      <c r="W57" s="178">
        <f t="shared" si="12"/>
        <v>19879</v>
      </c>
      <c r="X57" s="178">
        <f>+X46+X53+X55</f>
        <v>25006</v>
      </c>
      <c r="Y57" s="178">
        <f t="shared" si="12"/>
        <v>7036</v>
      </c>
      <c r="Z57" s="178">
        <f>+Z46+Z53+Z55</f>
        <v>13568</v>
      </c>
      <c r="AA57" s="178">
        <f t="shared" si="12"/>
        <v>1041</v>
      </c>
      <c r="AB57" s="178">
        <f aca="true" t="shared" si="13" ref="AB57:AJ57">+AB46+AB53+AB55</f>
        <v>7189</v>
      </c>
      <c r="AC57" s="178">
        <f t="shared" si="13"/>
        <v>21299</v>
      </c>
      <c r="AD57" s="178">
        <f>+AD46+AD53+AD55</f>
        <v>2236</v>
      </c>
      <c r="AE57" s="178">
        <f t="shared" si="13"/>
        <v>2449</v>
      </c>
      <c r="AF57" s="178">
        <f t="shared" si="13"/>
        <v>19819</v>
      </c>
      <c r="AG57" s="178">
        <f t="shared" si="13"/>
        <v>1161</v>
      </c>
      <c r="AH57" s="178">
        <f t="shared" si="13"/>
        <v>4602</v>
      </c>
      <c r="AI57" s="178">
        <f t="shared" si="13"/>
        <v>0</v>
      </c>
      <c r="AJ57" s="178">
        <f t="shared" si="13"/>
        <v>6056</v>
      </c>
      <c r="AK57" s="178">
        <f t="shared" si="12"/>
        <v>1309</v>
      </c>
      <c r="AL57" s="178">
        <f>+AL46+AL53+AL55</f>
        <v>0</v>
      </c>
      <c r="AM57" s="178">
        <f>+AM46+AM53+AM55</f>
        <v>33326</v>
      </c>
      <c r="AN57" s="178"/>
      <c r="AO57" s="178">
        <f>+AO46+AO53+AO55</f>
        <v>4424104</v>
      </c>
      <c r="AP57" s="164"/>
    </row>
    <row r="58" spans="1:42" ht="12.75" customHeight="1">
      <c r="A58" s="176" t="s">
        <v>438</v>
      </c>
      <c r="B58" s="176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O58" s="164"/>
      <c r="AP58" s="164"/>
    </row>
    <row r="59" spans="1:41" ht="12.75" customHeight="1">
      <c r="A59" s="176" t="s">
        <v>439</v>
      </c>
      <c r="B59" s="176"/>
      <c r="C59" s="186">
        <f aca="true" t="shared" si="14" ref="C59:AA59">+C42-C57</f>
        <v>316841498</v>
      </c>
      <c r="D59" s="186">
        <f t="shared" si="14"/>
        <v>269069350</v>
      </c>
      <c r="E59" s="186">
        <f t="shared" si="14"/>
        <v>238231846</v>
      </c>
      <c r="F59" s="186">
        <f t="shared" si="14"/>
        <v>96572517</v>
      </c>
      <c r="G59" s="186">
        <f t="shared" si="14"/>
        <v>92661679</v>
      </c>
      <c r="H59" s="186">
        <f t="shared" si="14"/>
        <v>91989503</v>
      </c>
      <c r="I59" s="186">
        <f t="shared" si="14"/>
        <v>82151541</v>
      </c>
      <c r="J59" s="186">
        <f t="shared" si="14"/>
        <v>66028104</v>
      </c>
      <c r="K59" s="186">
        <f t="shared" si="14"/>
        <v>56001481</v>
      </c>
      <c r="L59" s="186">
        <f t="shared" si="14"/>
        <v>55295393</v>
      </c>
      <c r="M59" s="186">
        <f t="shared" si="14"/>
        <v>40278978</v>
      </c>
      <c r="N59" s="186">
        <f t="shared" si="14"/>
        <v>38058605</v>
      </c>
      <c r="O59" s="186">
        <f t="shared" si="14"/>
        <v>30682912</v>
      </c>
      <c r="P59" s="186">
        <f t="shared" si="14"/>
        <v>29745138</v>
      </c>
      <c r="Q59" s="186">
        <f t="shared" si="14"/>
        <v>28408507</v>
      </c>
      <c r="R59" s="186">
        <f t="shared" si="14"/>
        <v>27623814</v>
      </c>
      <c r="S59" s="186">
        <f t="shared" si="14"/>
        <v>23372236</v>
      </c>
      <c r="T59" s="186">
        <f t="shared" si="14"/>
        <v>23132282</v>
      </c>
      <c r="U59" s="186">
        <f t="shared" si="14"/>
        <v>21603252</v>
      </c>
      <c r="V59" s="186">
        <f t="shared" si="14"/>
        <v>15607557</v>
      </c>
      <c r="W59" s="186">
        <f t="shared" si="14"/>
        <v>12954380</v>
      </c>
      <c r="X59" s="186">
        <f t="shared" si="14"/>
        <v>10123620</v>
      </c>
      <c r="Y59" s="186">
        <f t="shared" si="14"/>
        <v>7222999</v>
      </c>
      <c r="Z59" s="186">
        <f t="shared" si="14"/>
        <v>5921817</v>
      </c>
      <c r="AA59" s="186">
        <f t="shared" si="14"/>
        <v>4276550</v>
      </c>
      <c r="AB59" s="186">
        <f aca="true" t="shared" si="15" ref="AB59:AJ59">+AB42-AB57</f>
        <v>2788767</v>
      </c>
      <c r="AC59" s="186">
        <f t="shared" si="15"/>
        <v>2505080</v>
      </c>
      <c r="AD59" s="178">
        <f>+AD42-AD57</f>
        <v>2261717</v>
      </c>
      <c r="AE59" s="186">
        <f t="shared" si="15"/>
        <v>2235587</v>
      </c>
      <c r="AF59" s="186">
        <f t="shared" si="15"/>
        <v>1146206</v>
      </c>
      <c r="AG59" s="186">
        <f t="shared" si="15"/>
        <v>761710</v>
      </c>
      <c r="AH59" s="186">
        <f t="shared" si="15"/>
        <v>481478</v>
      </c>
      <c r="AI59" s="186">
        <f t="shared" si="15"/>
        <v>472544</v>
      </c>
      <c r="AJ59" s="186">
        <f t="shared" si="15"/>
        <v>449568</v>
      </c>
      <c r="AK59" s="178">
        <f>+AK42-AK57</f>
        <v>172493</v>
      </c>
      <c r="AL59" s="186">
        <f>+AL42-AL57</f>
        <v>71180</v>
      </c>
      <c r="AM59" s="186">
        <f>+AM42-AM57</f>
        <v>5688</v>
      </c>
      <c r="AO59" s="164">
        <f>SUM(C59:AM59)</f>
        <v>1697207577</v>
      </c>
    </row>
    <row r="61" spans="1:41" ht="12.75" customHeight="1">
      <c r="A61" s="178" t="s">
        <v>444</v>
      </c>
      <c r="C61" s="178">
        <f>+C59-'3.1 Yfirlit'!C62</f>
        <v>0</v>
      </c>
      <c r="D61" s="178">
        <f>+D59-'3.1 Yfirlit'!D62</f>
        <v>0</v>
      </c>
      <c r="E61" s="178">
        <f>+E59-'3.1 Yfirlit'!E62</f>
        <v>0</v>
      </c>
      <c r="F61" s="178">
        <f>+F59-'3.1 Yfirlit'!F62</f>
        <v>0</v>
      </c>
      <c r="G61" s="178">
        <f>+G59-'3.1 Yfirlit'!G62</f>
        <v>0</v>
      </c>
      <c r="H61" s="178">
        <f>+H59-'3.1 Yfirlit'!H62</f>
        <v>0</v>
      </c>
      <c r="I61" s="178">
        <f>+I59-'3.1 Yfirlit'!I62</f>
        <v>0</v>
      </c>
      <c r="J61" s="178">
        <f>+J59-'3.1 Yfirlit'!J62</f>
        <v>0</v>
      </c>
      <c r="K61" s="178">
        <f>+K59-'3.1 Yfirlit'!K62</f>
        <v>0</v>
      </c>
      <c r="L61" s="178">
        <f>+L59-'3.1 Yfirlit'!L62</f>
        <v>0</v>
      </c>
      <c r="M61" s="178">
        <f>+M59-'3.1 Yfirlit'!M62</f>
        <v>0</v>
      </c>
      <c r="N61" s="178">
        <f>+N59-'3.1 Yfirlit'!N62</f>
        <v>0</v>
      </c>
      <c r="O61" s="178">
        <f>+O59-'3.1 Yfirlit'!O62</f>
        <v>0</v>
      </c>
      <c r="P61" s="178">
        <f>+P59-'3.1 Yfirlit'!P62</f>
        <v>0</v>
      </c>
      <c r="Q61" s="178">
        <f>+Q59-'3.1 Yfirlit'!Q62</f>
        <v>0</v>
      </c>
      <c r="R61" s="178">
        <f>+R59-'3.1 Yfirlit'!R62</f>
        <v>0</v>
      </c>
      <c r="S61" s="178">
        <f>+S59-'3.1 Yfirlit'!S62</f>
        <v>0</v>
      </c>
      <c r="T61" s="178">
        <f>+T59-'3.1 Yfirlit'!T62</f>
        <v>0</v>
      </c>
      <c r="U61" s="178">
        <f>+U59-'3.1 Yfirlit'!U62</f>
        <v>0</v>
      </c>
      <c r="V61" s="178">
        <f>+V59-'3.1 Yfirlit'!V62</f>
        <v>0</v>
      </c>
      <c r="W61" s="178">
        <f>+W59-'3.1 Yfirlit'!W62</f>
        <v>0</v>
      </c>
      <c r="X61" s="178">
        <f>+X59-'3.1 Yfirlit'!X62</f>
        <v>0</v>
      </c>
      <c r="Y61" s="178">
        <f>+Y59-'3.1 Yfirlit'!Y62</f>
        <v>0</v>
      </c>
      <c r="Z61" s="178">
        <f>+Z59-'3.1 Yfirlit'!Z62</f>
        <v>0</v>
      </c>
      <c r="AA61" s="178">
        <f>+AA59-'3.1 Yfirlit'!AA62</f>
        <v>0</v>
      </c>
      <c r="AB61" s="178">
        <f>+AB59-'3.1 Yfirlit'!AB62</f>
        <v>0</v>
      </c>
      <c r="AC61" s="178">
        <f>+AC59-'3.1 Yfirlit'!AC62</f>
        <v>0</v>
      </c>
      <c r="AD61" s="178">
        <f>+AD59-'3.1 Yfirlit'!AD62</f>
        <v>0</v>
      </c>
      <c r="AE61" s="178">
        <f>+AE59-'3.1 Yfirlit'!AE62</f>
        <v>0</v>
      </c>
      <c r="AF61" s="178">
        <f>+AF59-'3.1 Yfirlit'!AF62</f>
        <v>0</v>
      </c>
      <c r="AG61" s="178">
        <f>+AG59-'3.1 Yfirlit'!AG62</f>
        <v>0</v>
      </c>
      <c r="AH61" s="178">
        <f>+AH59-'3.1 Yfirlit'!AH62</f>
        <v>0</v>
      </c>
      <c r="AI61" s="178">
        <f>+AI59-'3.1 Yfirlit'!AI62</f>
        <v>0</v>
      </c>
      <c r="AJ61" s="178">
        <f>+AJ59-'3.1 Yfirlit'!AJ62</f>
        <v>0</v>
      </c>
      <c r="AK61" s="178">
        <f>+AK59-'3.1 Yfirlit'!AK62</f>
        <v>0</v>
      </c>
      <c r="AL61" s="178">
        <f>+AL59-'3.1 Yfirlit'!AL62</f>
        <v>0</v>
      </c>
      <c r="AM61" s="178">
        <f>+AM59-'3.1 Yfirlit'!AM62</f>
        <v>0</v>
      </c>
      <c r="AN61" s="178"/>
      <c r="AO61" s="178">
        <f>+AO59-'3.1 Yfirlit'!AO62</f>
        <v>0</v>
      </c>
    </row>
  </sheetData>
  <sheetProtection/>
  <mergeCells count="37">
    <mergeCell ref="AM1:AM3"/>
    <mergeCell ref="AE1:AE3"/>
    <mergeCell ref="AG1:AG3"/>
    <mergeCell ref="AK1:AK3"/>
    <mergeCell ref="AL1:AL3"/>
    <mergeCell ref="AH1:AH3"/>
    <mergeCell ref="AJ1:AJ3"/>
    <mergeCell ref="AI1:AI3"/>
    <mergeCell ref="AF1:AF3"/>
    <mergeCell ref="C1:C3"/>
    <mergeCell ref="AA1:AA3"/>
    <mergeCell ref="Z1:Z3"/>
    <mergeCell ref="W1:W3"/>
    <mergeCell ref="T1:T3"/>
    <mergeCell ref="H1:H3"/>
    <mergeCell ref="D1:D3"/>
    <mergeCell ref="R1:R3"/>
    <mergeCell ref="V1:V3"/>
    <mergeCell ref="E1:E3"/>
    <mergeCell ref="G1:G3"/>
    <mergeCell ref="F1:F3"/>
    <mergeCell ref="O1:O3"/>
    <mergeCell ref="N1:N3"/>
    <mergeCell ref="M1:M3"/>
    <mergeCell ref="J1:J3"/>
    <mergeCell ref="K1:K3"/>
    <mergeCell ref="L1:L3"/>
    <mergeCell ref="AD1:AD3"/>
    <mergeCell ref="AC1:AC3"/>
    <mergeCell ref="AB1:AB3"/>
    <mergeCell ref="Y1:Y3"/>
    <mergeCell ref="X1:X3"/>
    <mergeCell ref="I1:I3"/>
    <mergeCell ref="P1:P3"/>
    <mergeCell ref="U1:U3"/>
    <mergeCell ref="S1:S3"/>
    <mergeCell ref="Q1:Q3"/>
  </mergeCells>
  <printOptions/>
  <pageMargins left="0.4724409448818898" right="0.31496062992125984" top="0.984251968503937" bottom="0.4724409448818898" header="0.3937007874015748" footer="0.31496062992125984"/>
  <pageSetup firstPageNumber="16" useFirstPageNumber="1" horizontalDpi="600" verticalDpi="600" orientation="portrait" paperSize="9" r:id="rId1"/>
  <headerFooter alignWithMargins="0">
    <oddHeader>&amp;C&amp;"Times New Roman,Bold"&amp;12 3.2. EFNAHAGSREIKNINGAR 31.12.2007</oddHeader>
    <oddFooter>&amp;R&amp;"Times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66"/>
  <sheetViews>
    <sheetView zoomScaleSheetLayoutView="100" workbookViewId="0" topLeftCell="AF1">
      <pane ySplit="1275" topLeftCell="A1" activePane="bottomLeft" state="split"/>
      <selection pane="topLeft" activeCell="AL1" sqref="AL1:AL16384"/>
      <selection pane="bottomLeft" activeCell="AK9" sqref="AK9"/>
    </sheetView>
  </sheetViews>
  <sheetFormatPr defaultColWidth="9.140625" defaultRowHeight="12.75" customHeight="1"/>
  <cols>
    <col min="1" max="1" width="22.7109375" style="178" customWidth="1"/>
    <col min="2" max="2" width="0.85546875" style="178" customWidth="1"/>
    <col min="3" max="3" width="9.421875" style="178" customWidth="1"/>
    <col min="4" max="4" width="9.7109375" style="178" customWidth="1"/>
    <col min="5" max="12" width="9.28125" style="178" customWidth="1"/>
    <col min="13" max="13" width="9.57421875" style="178" customWidth="1"/>
    <col min="14" max="14" width="9.421875" style="178" customWidth="1"/>
    <col min="15" max="15" width="9.7109375" style="178" customWidth="1"/>
    <col min="16" max="16" width="9.28125" style="178" customWidth="1"/>
    <col min="17" max="17" width="9.7109375" style="178" customWidth="1"/>
    <col min="18" max="18" width="9.8515625" style="178" customWidth="1"/>
    <col min="19" max="19" width="9.421875" style="178" customWidth="1"/>
    <col min="20" max="20" width="9.57421875" style="178" customWidth="1"/>
    <col min="21" max="21" width="9.421875" style="178" customWidth="1"/>
    <col min="22" max="22" width="9.28125" style="178" customWidth="1"/>
    <col min="23" max="23" width="9.8515625" style="178" customWidth="1"/>
    <col min="24" max="25" width="9.28125" style="178" customWidth="1"/>
    <col min="26" max="26" width="9.57421875" style="178" customWidth="1"/>
    <col min="27" max="27" width="9.8515625" style="178" customWidth="1"/>
    <col min="28" max="29" width="9.7109375" style="178" customWidth="1"/>
    <col min="30" max="30" width="10.28125" style="178" customWidth="1"/>
    <col min="31" max="31" width="9.28125" style="178" customWidth="1"/>
    <col min="32" max="32" width="9.7109375" style="178" customWidth="1"/>
    <col min="33" max="33" width="9.28125" style="178" customWidth="1"/>
    <col min="34" max="34" width="9.57421875" style="178" customWidth="1"/>
    <col min="35" max="35" width="9.28125" style="178" customWidth="1"/>
    <col min="36" max="36" width="9.57421875" style="178" customWidth="1"/>
    <col min="37" max="37" width="9.7109375" style="178" customWidth="1"/>
    <col min="38" max="38" width="10.28125" style="178" customWidth="1"/>
    <col min="39" max="39" width="10.7109375" style="178" customWidth="1"/>
    <col min="40" max="40" width="5.7109375" style="178" customWidth="1"/>
    <col min="41" max="41" width="10.00390625" style="178" customWidth="1"/>
    <col min="42" max="42" width="11.140625" style="178" customWidth="1"/>
    <col min="43" max="43" width="12.57421875" style="178" customWidth="1"/>
    <col min="44" max="44" width="3.28125" style="178" customWidth="1"/>
    <col min="45" max="16384" width="9.140625" style="178" customWidth="1"/>
  </cols>
  <sheetData>
    <row r="1" spans="2:43" ht="12.75" customHeight="1">
      <c r="B1" s="195"/>
      <c r="C1" s="479" t="s">
        <v>396</v>
      </c>
      <c r="D1" s="479" t="s">
        <v>170</v>
      </c>
      <c r="E1" s="479" t="s">
        <v>25</v>
      </c>
      <c r="F1" s="479" t="s">
        <v>368</v>
      </c>
      <c r="G1" s="479" t="s">
        <v>369</v>
      </c>
      <c r="H1" s="479" t="s">
        <v>547</v>
      </c>
      <c r="I1" s="479" t="s">
        <v>31</v>
      </c>
      <c r="J1" s="479" t="s">
        <v>223</v>
      </c>
      <c r="K1" s="479" t="s">
        <v>2</v>
      </c>
      <c r="L1" s="479" t="s">
        <v>24</v>
      </c>
      <c r="M1" s="479" t="s">
        <v>166</v>
      </c>
      <c r="N1" s="479" t="s">
        <v>3</v>
      </c>
      <c r="O1" s="479" t="s">
        <v>29</v>
      </c>
      <c r="P1" s="479" t="s">
        <v>370</v>
      </c>
      <c r="Q1" s="479" t="s">
        <v>432</v>
      </c>
      <c r="R1" s="479" t="s">
        <v>30</v>
      </c>
      <c r="S1" s="479" t="s">
        <v>230</v>
      </c>
      <c r="T1" s="479" t="s">
        <v>161</v>
      </c>
      <c r="U1" s="479" t="s">
        <v>27</v>
      </c>
      <c r="V1" s="479" t="s">
        <v>157</v>
      </c>
      <c r="W1" s="479" t="s">
        <v>227</v>
      </c>
      <c r="X1" s="479" t="s">
        <v>539</v>
      </c>
      <c r="Y1" s="479" t="s">
        <v>379</v>
      </c>
      <c r="Z1" s="479" t="s">
        <v>162</v>
      </c>
      <c r="AA1" s="479" t="s">
        <v>28</v>
      </c>
      <c r="AB1" s="479" t="s">
        <v>443</v>
      </c>
      <c r="AC1" s="479" t="s">
        <v>165</v>
      </c>
      <c r="AD1" s="479" t="s">
        <v>158</v>
      </c>
      <c r="AE1" s="479" t="s">
        <v>4</v>
      </c>
      <c r="AF1" s="479" t="s">
        <v>160</v>
      </c>
      <c r="AG1" s="479" t="s">
        <v>5</v>
      </c>
      <c r="AH1" s="479" t="s">
        <v>163</v>
      </c>
      <c r="AI1" s="469" t="s">
        <v>6</v>
      </c>
      <c r="AJ1" s="479" t="s">
        <v>226</v>
      </c>
      <c r="AK1" s="479" t="s">
        <v>445</v>
      </c>
      <c r="AL1" s="479" t="s">
        <v>168</v>
      </c>
      <c r="AM1" s="479" t="s">
        <v>380</v>
      </c>
      <c r="AN1" s="196"/>
      <c r="AO1" s="171" t="s">
        <v>371</v>
      </c>
      <c r="AP1" s="195"/>
      <c r="AQ1" s="195"/>
    </row>
    <row r="2" spans="2:43" ht="12.75" customHeight="1">
      <c r="B2" s="174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69"/>
      <c r="AJ2" s="479"/>
      <c r="AK2" s="479"/>
      <c r="AL2" s="479"/>
      <c r="AM2" s="479"/>
      <c r="AN2" s="196"/>
      <c r="AO2" s="171" t="s">
        <v>9</v>
      </c>
      <c r="AP2" s="195"/>
      <c r="AQ2" s="195"/>
    </row>
    <row r="3" spans="1:43" ht="12.75" customHeight="1">
      <c r="A3" s="174" t="s">
        <v>8</v>
      </c>
      <c r="B3" s="195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69"/>
      <c r="AJ3" s="479"/>
      <c r="AK3" s="479"/>
      <c r="AL3" s="479"/>
      <c r="AM3" s="479"/>
      <c r="AN3" s="196"/>
      <c r="AO3" s="171" t="s">
        <v>12</v>
      </c>
      <c r="AP3" s="195"/>
      <c r="AQ3" s="195"/>
    </row>
    <row r="4" spans="1:43" ht="12.75" customHeight="1">
      <c r="A4" s="195"/>
      <c r="B4" s="195"/>
      <c r="C4" s="187" t="s">
        <v>481</v>
      </c>
      <c r="D4" s="187" t="s">
        <v>511</v>
      </c>
      <c r="E4" s="187" t="s">
        <v>491</v>
      </c>
      <c r="F4" s="187" t="s">
        <v>515</v>
      </c>
      <c r="G4" s="187" t="s">
        <v>482</v>
      </c>
      <c r="H4" s="187" t="s">
        <v>517</v>
      </c>
      <c r="I4" s="187" t="s">
        <v>490</v>
      </c>
      <c r="J4" s="187" t="s">
        <v>501</v>
      </c>
      <c r="K4" s="187" t="s">
        <v>516</v>
      </c>
      <c r="L4" s="187" t="s">
        <v>489</v>
      </c>
      <c r="M4" s="187" t="s">
        <v>496</v>
      </c>
      <c r="N4" s="187" t="s">
        <v>494</v>
      </c>
      <c r="O4" s="187" t="s">
        <v>510</v>
      </c>
      <c r="P4" s="187" t="s">
        <v>512</v>
      </c>
      <c r="Q4" s="187" t="s">
        <v>508</v>
      </c>
      <c r="R4" s="187" t="s">
        <v>492</v>
      </c>
      <c r="S4" s="187" t="s">
        <v>499</v>
      </c>
      <c r="T4" s="187" t="s">
        <v>513</v>
      </c>
      <c r="U4" s="187" t="s">
        <v>495</v>
      </c>
      <c r="V4" s="187" t="s">
        <v>483</v>
      </c>
      <c r="W4" s="187" t="s">
        <v>507</v>
      </c>
      <c r="X4" s="187" t="s">
        <v>505</v>
      </c>
      <c r="Y4" s="187" t="s">
        <v>486</v>
      </c>
      <c r="Z4" s="187" t="s">
        <v>502</v>
      </c>
      <c r="AA4" s="187" t="s">
        <v>497</v>
      </c>
      <c r="AB4" s="187" t="s">
        <v>498</v>
      </c>
      <c r="AC4" s="187" t="s">
        <v>509</v>
      </c>
      <c r="AD4" s="187" t="s">
        <v>506</v>
      </c>
      <c r="AE4" s="187" t="s">
        <v>504</v>
      </c>
      <c r="AF4" s="187" t="s">
        <v>487</v>
      </c>
      <c r="AG4" s="187" t="s">
        <v>500</v>
      </c>
      <c r="AH4" s="187" t="s">
        <v>493</v>
      </c>
      <c r="AI4" s="187" t="s">
        <v>484</v>
      </c>
      <c r="AJ4" s="187" t="s">
        <v>488</v>
      </c>
      <c r="AK4" s="187" t="s">
        <v>485</v>
      </c>
      <c r="AL4" s="187" t="s">
        <v>503</v>
      </c>
      <c r="AM4" s="187" t="s">
        <v>514</v>
      </c>
      <c r="AN4" s="196"/>
      <c r="AO4" s="195"/>
      <c r="AP4" s="195"/>
      <c r="AQ4" s="195"/>
    </row>
    <row r="5" spans="1:44" ht="12.75" customHeight="1">
      <c r="A5" s="176" t="s">
        <v>123</v>
      </c>
      <c r="B5" s="176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64"/>
      <c r="AO5" s="164"/>
      <c r="AP5" s="164"/>
      <c r="AQ5" s="164"/>
      <c r="AR5" s="164"/>
    </row>
    <row r="6" spans="1:44" ht="12.75" customHeight="1">
      <c r="A6" s="174" t="s">
        <v>124</v>
      </c>
      <c r="B6" s="174"/>
      <c r="C6" s="179">
        <v>35173479</v>
      </c>
      <c r="D6" s="179">
        <v>15327226</v>
      </c>
      <c r="E6" s="179">
        <v>9654718</v>
      </c>
      <c r="F6" s="179">
        <v>5163136</v>
      </c>
      <c r="G6" s="179">
        <v>8279702</v>
      </c>
      <c r="H6" s="179">
        <v>5541738</v>
      </c>
      <c r="I6" s="179">
        <v>3934045</v>
      </c>
      <c r="J6" s="179">
        <v>5635104</v>
      </c>
      <c r="K6" s="179">
        <v>2393885</v>
      </c>
      <c r="L6" s="179">
        <v>3395214</v>
      </c>
      <c r="M6" s="179">
        <v>25178174</v>
      </c>
      <c r="N6" s="179">
        <v>1701825</v>
      </c>
      <c r="O6" s="179">
        <v>2365447</v>
      </c>
      <c r="P6" s="179">
        <v>5594719</v>
      </c>
      <c r="Q6" s="179">
        <v>4402878</v>
      </c>
      <c r="R6" s="179">
        <v>785775</v>
      </c>
      <c r="S6" s="179">
        <v>757205</v>
      </c>
      <c r="T6" s="179">
        <v>1145875</v>
      </c>
      <c r="U6" s="179">
        <v>488092</v>
      </c>
      <c r="V6" s="179">
        <v>929178</v>
      </c>
      <c r="W6" s="179">
        <v>108400</v>
      </c>
      <c r="X6" s="179">
        <v>147581</v>
      </c>
      <c r="Y6" s="179">
        <v>580760</v>
      </c>
      <c r="Z6" s="179">
        <v>3418948</v>
      </c>
      <c r="AA6" s="179">
        <v>197839</v>
      </c>
      <c r="AB6" s="179">
        <v>127788</v>
      </c>
      <c r="AC6" s="179">
        <v>141468</v>
      </c>
      <c r="AD6" s="179">
        <v>85026</v>
      </c>
      <c r="AE6" s="179">
        <v>50962</v>
      </c>
      <c r="AF6" s="179">
        <v>86235</v>
      </c>
      <c r="AG6" s="179">
        <v>0</v>
      </c>
      <c r="AH6" s="179">
        <v>42365</v>
      </c>
      <c r="AI6" s="179">
        <v>0</v>
      </c>
      <c r="AJ6" s="179">
        <v>36617</v>
      </c>
      <c r="AK6" s="179">
        <v>0</v>
      </c>
      <c r="AL6" s="179">
        <v>51605</v>
      </c>
      <c r="AM6" s="179">
        <v>176007</v>
      </c>
      <c r="AN6" s="185"/>
      <c r="AO6" s="164">
        <f aca="true" t="shared" si="0" ref="AO6:AO14">SUM(C6:AM6)</f>
        <v>143099016</v>
      </c>
      <c r="AP6" s="164"/>
      <c r="AQ6" s="164"/>
      <c r="AR6" s="185"/>
    </row>
    <row r="7" spans="1:44" ht="12.75" customHeight="1">
      <c r="A7" s="174" t="s">
        <v>125</v>
      </c>
      <c r="B7" s="174"/>
      <c r="C7" s="179">
        <v>5377073</v>
      </c>
      <c r="D7" s="179">
        <v>14039120</v>
      </c>
      <c r="E7" s="179">
        <v>8924755</v>
      </c>
      <c r="F7" s="179">
        <v>1882249</v>
      </c>
      <c r="G7" s="179">
        <v>1028689</v>
      </c>
      <c r="H7" s="179">
        <v>3133331</v>
      </c>
      <c r="I7" s="179">
        <v>1950224</v>
      </c>
      <c r="J7" s="179">
        <v>2123865</v>
      </c>
      <c r="K7" s="179">
        <v>1366154</v>
      </c>
      <c r="L7" s="179">
        <v>1772496</v>
      </c>
      <c r="M7" s="179">
        <v>2329662</v>
      </c>
      <c r="N7" s="179">
        <v>461947</v>
      </c>
      <c r="O7" s="179">
        <v>726601</v>
      </c>
      <c r="P7" s="179">
        <v>789314</v>
      </c>
      <c r="Q7" s="179">
        <v>531044</v>
      </c>
      <c r="R7" s="179">
        <v>104312</v>
      </c>
      <c r="S7" s="179">
        <v>533688</v>
      </c>
      <c r="T7" s="179">
        <v>263979</v>
      </c>
      <c r="U7" s="179">
        <v>258553</v>
      </c>
      <c r="V7" s="179">
        <v>394548</v>
      </c>
      <c r="W7" s="179">
        <v>47869</v>
      </c>
      <c r="X7" s="179">
        <v>113590</v>
      </c>
      <c r="Y7" s="179">
        <v>141698</v>
      </c>
      <c r="Z7" s="179">
        <v>184124</v>
      </c>
      <c r="AA7" s="179">
        <v>165878</v>
      </c>
      <c r="AB7" s="179">
        <v>45083</v>
      </c>
      <c r="AC7" s="179">
        <v>-98559</v>
      </c>
      <c r="AD7" s="179">
        <v>124908</v>
      </c>
      <c r="AE7" s="179">
        <v>26958</v>
      </c>
      <c r="AF7" s="179">
        <v>34574</v>
      </c>
      <c r="AG7" s="179">
        <v>100292</v>
      </c>
      <c r="AH7" s="179">
        <v>7518</v>
      </c>
      <c r="AI7" s="179">
        <v>62078</v>
      </c>
      <c r="AJ7" s="179">
        <v>8404</v>
      </c>
      <c r="AK7" s="179">
        <v>2082</v>
      </c>
      <c r="AL7" s="179">
        <v>6697</v>
      </c>
      <c r="AM7" s="179">
        <v>2097</v>
      </c>
      <c r="AN7" s="185"/>
      <c r="AO7" s="164">
        <f t="shared" si="0"/>
        <v>48966895</v>
      </c>
      <c r="AP7" s="164"/>
      <c r="AQ7" s="164"/>
      <c r="AR7" s="185"/>
    </row>
    <row r="8" spans="1:44" ht="12.75" customHeight="1">
      <c r="A8" s="174" t="s">
        <v>126</v>
      </c>
      <c r="B8" s="174"/>
      <c r="C8" s="179">
        <v>0</v>
      </c>
      <c r="D8" s="179">
        <v>0</v>
      </c>
      <c r="E8" s="179">
        <v>0</v>
      </c>
      <c r="F8" s="179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9609</v>
      </c>
      <c r="M8" s="179">
        <v>0</v>
      </c>
      <c r="N8" s="179">
        <v>0</v>
      </c>
      <c r="O8" s="179">
        <v>0</v>
      </c>
      <c r="P8" s="179">
        <v>0</v>
      </c>
      <c r="Q8" s="179">
        <v>0</v>
      </c>
      <c r="R8" s="179">
        <v>0</v>
      </c>
      <c r="S8" s="179">
        <v>0</v>
      </c>
      <c r="T8" s="179">
        <v>0</v>
      </c>
      <c r="U8" s="179">
        <v>41886</v>
      </c>
      <c r="V8" s="179">
        <v>0</v>
      </c>
      <c r="W8" s="179">
        <v>0</v>
      </c>
      <c r="X8" s="179">
        <v>0</v>
      </c>
      <c r="Y8" s="179">
        <v>0</v>
      </c>
      <c r="Z8" s="179">
        <v>0</v>
      </c>
      <c r="AA8" s="179">
        <v>2350</v>
      </c>
      <c r="AB8" s="179">
        <v>-6920</v>
      </c>
      <c r="AC8" s="179">
        <v>9453</v>
      </c>
      <c r="AD8" s="179">
        <v>-2488</v>
      </c>
      <c r="AE8" s="179">
        <v>0</v>
      </c>
      <c r="AF8" s="179">
        <v>0</v>
      </c>
      <c r="AG8" s="179">
        <v>0</v>
      </c>
      <c r="AH8" s="179">
        <v>0</v>
      </c>
      <c r="AI8" s="179">
        <v>0</v>
      </c>
      <c r="AJ8" s="179">
        <v>0</v>
      </c>
      <c r="AK8" s="179">
        <v>0</v>
      </c>
      <c r="AL8" s="179">
        <v>0</v>
      </c>
      <c r="AM8" s="179">
        <v>0</v>
      </c>
      <c r="AN8" s="185"/>
      <c r="AO8" s="164">
        <f t="shared" si="0"/>
        <v>53890</v>
      </c>
      <c r="AP8" s="164"/>
      <c r="AQ8" s="164"/>
      <c r="AR8" s="185"/>
    </row>
    <row r="9" spans="1:44" ht="12.75" customHeight="1">
      <c r="A9" s="174" t="s">
        <v>127</v>
      </c>
      <c r="B9" s="174"/>
      <c r="C9" s="179">
        <v>10857462</v>
      </c>
      <c r="D9" s="179">
        <v>5397621</v>
      </c>
      <c r="E9" s="179">
        <v>6101699</v>
      </c>
      <c r="F9" s="179">
        <v>6171217</v>
      </c>
      <c r="G9" s="179">
        <v>883459</v>
      </c>
      <c r="H9" s="179">
        <v>1712642</v>
      </c>
      <c r="I9" s="179">
        <v>9841994</v>
      </c>
      <c r="J9" s="179">
        <v>1670107</v>
      </c>
      <c r="K9" s="179">
        <v>2030197</v>
      </c>
      <c r="L9" s="179">
        <v>3195323</v>
      </c>
      <c r="M9" s="179">
        <v>4277439</v>
      </c>
      <c r="N9" s="179">
        <v>819357</v>
      </c>
      <c r="O9" s="179">
        <v>1926185</v>
      </c>
      <c r="P9" s="179">
        <v>134570</v>
      </c>
      <c r="Q9" s="179">
        <v>2049549</v>
      </c>
      <c r="R9" s="179">
        <v>1226938</v>
      </c>
      <c r="S9" s="179">
        <v>402030</v>
      </c>
      <c r="T9" s="179">
        <v>875971</v>
      </c>
      <c r="U9" s="179">
        <v>773168</v>
      </c>
      <c r="V9" s="179">
        <v>334377</v>
      </c>
      <c r="W9" s="179">
        <v>826747</v>
      </c>
      <c r="X9" s="179">
        <v>190704</v>
      </c>
      <c r="Y9" s="179">
        <v>16997</v>
      </c>
      <c r="Z9" s="179">
        <v>127146</v>
      </c>
      <c r="AA9" s="179">
        <v>0</v>
      </c>
      <c r="AB9" s="179">
        <v>42344</v>
      </c>
      <c r="AC9" s="179">
        <v>198483</v>
      </c>
      <c r="AD9" s="179">
        <v>148044</v>
      </c>
      <c r="AE9" s="179">
        <v>13292</v>
      </c>
      <c r="AF9" s="179">
        <v>44415</v>
      </c>
      <c r="AG9" s="179">
        <v>20125</v>
      </c>
      <c r="AH9" s="179">
        <v>57957</v>
      </c>
      <c r="AI9" s="179">
        <v>17712</v>
      </c>
      <c r="AJ9" s="179">
        <v>14206</v>
      </c>
      <c r="AK9" s="179">
        <v>4931</v>
      </c>
      <c r="AL9" s="179">
        <v>1229</v>
      </c>
      <c r="AM9" s="179">
        <v>8000</v>
      </c>
      <c r="AN9" s="185"/>
      <c r="AO9" s="164">
        <f t="shared" si="0"/>
        <v>62413637</v>
      </c>
      <c r="AP9" s="164"/>
      <c r="AQ9" s="164"/>
      <c r="AR9" s="185"/>
    </row>
    <row r="10" spans="1:44" ht="12.75" customHeight="1">
      <c r="A10" s="174" t="s">
        <v>128</v>
      </c>
      <c r="B10" s="174"/>
      <c r="C10" s="179">
        <v>29676742</v>
      </c>
      <c r="D10" s="179">
        <v>28023884</v>
      </c>
      <c r="E10" s="179">
        <v>37846102</v>
      </c>
      <c r="F10" s="179">
        <v>40769386</v>
      </c>
      <c r="G10" s="179">
        <v>37598637</v>
      </c>
      <c r="H10" s="179">
        <v>30909330</v>
      </c>
      <c r="I10" s="179">
        <v>26359295</v>
      </c>
      <c r="J10" s="179">
        <v>30518822</v>
      </c>
      <c r="K10" s="179">
        <v>126998</v>
      </c>
      <c r="L10" s="179">
        <v>16932955</v>
      </c>
      <c r="M10" s="179">
        <v>895276</v>
      </c>
      <c r="N10" s="179">
        <v>22629386</v>
      </c>
      <c r="O10" s="179">
        <v>11723699</v>
      </c>
      <c r="P10" s="179">
        <v>22987761</v>
      </c>
      <c r="Q10" s="179">
        <v>12879506</v>
      </c>
      <c r="R10" s="179">
        <v>8836201</v>
      </c>
      <c r="S10" s="179">
        <v>1067424</v>
      </c>
      <c r="T10" s="179">
        <v>3800332</v>
      </c>
      <c r="U10" s="179">
        <v>6723702</v>
      </c>
      <c r="V10" s="179">
        <v>10045573</v>
      </c>
      <c r="W10" s="179">
        <v>2360763</v>
      </c>
      <c r="X10" s="179">
        <v>5630093</v>
      </c>
      <c r="Y10" s="179">
        <v>1184575</v>
      </c>
      <c r="Z10" s="179">
        <v>1392667</v>
      </c>
      <c r="AA10" s="179">
        <v>920620</v>
      </c>
      <c r="AB10" s="179">
        <v>2407593</v>
      </c>
      <c r="AC10" s="179">
        <v>701772</v>
      </c>
      <c r="AD10" s="179">
        <v>145454</v>
      </c>
      <c r="AE10" s="179">
        <v>349344</v>
      </c>
      <c r="AF10" s="179">
        <v>484490</v>
      </c>
      <c r="AG10" s="179">
        <v>0</v>
      </c>
      <c r="AH10" s="179">
        <v>73050</v>
      </c>
      <c r="AI10" s="179">
        <v>0</v>
      </c>
      <c r="AJ10" s="179">
        <v>236110</v>
      </c>
      <c r="AK10" s="179">
        <v>21823</v>
      </c>
      <c r="AL10" s="179">
        <v>0</v>
      </c>
      <c r="AM10" s="179">
        <v>0</v>
      </c>
      <c r="AN10" s="185"/>
      <c r="AO10" s="164">
        <f t="shared" si="0"/>
        <v>396259365</v>
      </c>
      <c r="AP10" s="164"/>
      <c r="AQ10" s="164"/>
      <c r="AR10" s="185"/>
    </row>
    <row r="11" spans="1:44" ht="12.75" customHeight="1">
      <c r="A11" s="174" t="s">
        <v>129</v>
      </c>
      <c r="B11" s="174"/>
      <c r="C11" s="179">
        <v>18511162</v>
      </c>
      <c r="D11" s="179">
        <v>1566666</v>
      </c>
      <c r="E11" s="179">
        <v>1495259</v>
      </c>
      <c r="F11" s="179">
        <v>11341516</v>
      </c>
      <c r="G11" s="179">
        <v>4026067</v>
      </c>
      <c r="H11" s="179">
        <v>13729192</v>
      </c>
      <c r="I11" s="179">
        <v>0</v>
      </c>
      <c r="J11" s="179">
        <v>21340725</v>
      </c>
      <c r="K11" s="179">
        <v>292179</v>
      </c>
      <c r="L11" s="179">
        <v>234967</v>
      </c>
      <c r="M11" s="179">
        <v>1062863</v>
      </c>
      <c r="N11" s="179">
        <v>3215102</v>
      </c>
      <c r="O11" s="179">
        <v>2340588</v>
      </c>
      <c r="P11" s="179">
        <v>110000</v>
      </c>
      <c r="Q11" s="179">
        <v>1662161</v>
      </c>
      <c r="R11" s="179">
        <v>1164504</v>
      </c>
      <c r="S11" s="179">
        <v>16531</v>
      </c>
      <c r="T11" s="179">
        <v>338089</v>
      </c>
      <c r="U11" s="179">
        <v>157714</v>
      </c>
      <c r="V11" s="179">
        <v>442512</v>
      </c>
      <c r="W11" s="179">
        <v>302662</v>
      </c>
      <c r="X11" s="179">
        <v>820</v>
      </c>
      <c r="Y11" s="179">
        <v>0</v>
      </c>
      <c r="Z11" s="179">
        <v>0</v>
      </c>
      <c r="AA11" s="179">
        <v>193851</v>
      </c>
      <c r="AB11" s="179">
        <v>0</v>
      </c>
      <c r="AC11" s="179">
        <v>1048683</v>
      </c>
      <c r="AD11" s="179">
        <v>0</v>
      </c>
      <c r="AE11" s="179">
        <v>29738</v>
      </c>
      <c r="AF11" s="179">
        <v>21758</v>
      </c>
      <c r="AG11" s="179">
        <v>27774</v>
      </c>
      <c r="AH11" s="179">
        <v>1204</v>
      </c>
      <c r="AI11" s="179">
        <v>0</v>
      </c>
      <c r="AJ11" s="179">
        <v>22838</v>
      </c>
      <c r="AK11" s="179">
        <v>0</v>
      </c>
      <c r="AL11" s="179">
        <v>0</v>
      </c>
      <c r="AM11" s="179">
        <v>0</v>
      </c>
      <c r="AN11" s="185"/>
      <c r="AO11" s="164">
        <f t="shared" si="0"/>
        <v>84697125</v>
      </c>
      <c r="AP11" s="164"/>
      <c r="AQ11" s="164"/>
      <c r="AR11" s="185"/>
    </row>
    <row r="12" spans="1:44" ht="12.75" customHeight="1">
      <c r="A12" s="174" t="s">
        <v>130</v>
      </c>
      <c r="B12" s="174"/>
      <c r="C12" s="179">
        <v>0</v>
      </c>
      <c r="D12" s="179">
        <v>0</v>
      </c>
      <c r="E12" s="179">
        <v>0</v>
      </c>
      <c r="F12" s="179">
        <v>0</v>
      </c>
      <c r="G12" s="179">
        <v>32665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79">
        <v>0</v>
      </c>
      <c r="S12" s="179">
        <v>0</v>
      </c>
      <c r="T12" s="179">
        <v>0</v>
      </c>
      <c r="U12" s="179">
        <v>0</v>
      </c>
      <c r="V12" s="179">
        <v>0</v>
      </c>
      <c r="W12" s="179">
        <v>0</v>
      </c>
      <c r="X12" s="179">
        <v>0</v>
      </c>
      <c r="Y12" s="179">
        <v>0</v>
      </c>
      <c r="Z12" s="179">
        <v>0</v>
      </c>
      <c r="AA12" s="179">
        <v>0</v>
      </c>
      <c r="AB12" s="179">
        <v>0</v>
      </c>
      <c r="AC12" s="179">
        <v>0</v>
      </c>
      <c r="AD12" s="179">
        <v>0</v>
      </c>
      <c r="AE12" s="179">
        <v>0</v>
      </c>
      <c r="AF12" s="179">
        <v>0</v>
      </c>
      <c r="AG12" s="179">
        <v>0</v>
      </c>
      <c r="AH12" s="179">
        <v>0</v>
      </c>
      <c r="AI12" s="179">
        <v>0</v>
      </c>
      <c r="AJ12" s="179">
        <v>0</v>
      </c>
      <c r="AK12" s="179">
        <v>0</v>
      </c>
      <c r="AL12" s="179">
        <v>0</v>
      </c>
      <c r="AM12" s="179">
        <v>0</v>
      </c>
      <c r="AN12" s="185"/>
      <c r="AO12" s="164">
        <f t="shared" si="0"/>
        <v>32665</v>
      </c>
      <c r="AP12" s="164"/>
      <c r="AQ12" s="164"/>
      <c r="AR12" s="185"/>
    </row>
    <row r="13" spans="1:44" ht="12.75" customHeight="1">
      <c r="A13" s="174" t="s">
        <v>131</v>
      </c>
      <c r="B13" s="174"/>
      <c r="C13" s="179">
        <v>0</v>
      </c>
      <c r="D13" s="179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3234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  <c r="R13" s="179">
        <v>0</v>
      </c>
      <c r="S13" s="179">
        <v>0</v>
      </c>
      <c r="T13" s="179">
        <v>0</v>
      </c>
      <c r="U13" s="179">
        <v>0</v>
      </c>
      <c r="V13" s="179">
        <v>0</v>
      </c>
      <c r="W13" s="179">
        <v>0</v>
      </c>
      <c r="X13" s="179">
        <v>0</v>
      </c>
      <c r="Y13" s="179">
        <v>0</v>
      </c>
      <c r="Z13" s="179">
        <v>0</v>
      </c>
      <c r="AA13" s="179">
        <v>0</v>
      </c>
      <c r="AB13" s="179">
        <v>0</v>
      </c>
      <c r="AC13" s="179">
        <v>0</v>
      </c>
      <c r="AD13" s="179">
        <v>0</v>
      </c>
      <c r="AE13" s="179">
        <v>0</v>
      </c>
      <c r="AF13" s="179">
        <v>0</v>
      </c>
      <c r="AG13" s="179">
        <v>0</v>
      </c>
      <c r="AH13" s="179">
        <v>0</v>
      </c>
      <c r="AI13" s="179">
        <v>0</v>
      </c>
      <c r="AJ13" s="179">
        <v>0</v>
      </c>
      <c r="AK13" s="179">
        <v>0</v>
      </c>
      <c r="AL13" s="179">
        <v>0</v>
      </c>
      <c r="AM13" s="179">
        <v>0</v>
      </c>
      <c r="AN13" s="185"/>
      <c r="AO13" s="164">
        <f t="shared" si="0"/>
        <v>3234</v>
      </c>
      <c r="AP13" s="164"/>
      <c r="AQ13" s="164"/>
      <c r="AR13" s="185"/>
    </row>
    <row r="14" spans="1:44" ht="12.75" customHeight="1">
      <c r="A14" s="174" t="s">
        <v>132</v>
      </c>
      <c r="B14" s="174"/>
      <c r="C14" s="179">
        <v>0</v>
      </c>
      <c r="D14" s="179">
        <v>368248</v>
      </c>
      <c r="E14" s="179">
        <v>1348890</v>
      </c>
      <c r="F14" s="179">
        <v>55393</v>
      </c>
      <c r="G14" s="179">
        <v>8653</v>
      </c>
      <c r="H14" s="179">
        <v>92848</v>
      </c>
      <c r="I14" s="179">
        <v>8810</v>
      </c>
      <c r="J14" s="179">
        <v>0</v>
      </c>
      <c r="K14" s="179">
        <v>0</v>
      </c>
      <c r="L14" s="179">
        <v>0</v>
      </c>
      <c r="M14" s="179">
        <v>0</v>
      </c>
      <c r="N14" s="179">
        <v>123581</v>
      </c>
      <c r="O14" s="179">
        <v>7673</v>
      </c>
      <c r="P14" s="179">
        <v>0</v>
      </c>
      <c r="Q14" s="179">
        <v>8624</v>
      </c>
      <c r="R14" s="179">
        <v>67556</v>
      </c>
      <c r="S14" s="179">
        <v>29319</v>
      </c>
      <c r="T14" s="179">
        <v>0</v>
      </c>
      <c r="U14" s="179">
        <v>0</v>
      </c>
      <c r="V14" s="179">
        <v>-4301</v>
      </c>
      <c r="W14" s="179">
        <v>0</v>
      </c>
      <c r="X14" s="179">
        <v>0</v>
      </c>
      <c r="Y14" s="179">
        <v>0</v>
      </c>
      <c r="Z14" s="179">
        <v>0</v>
      </c>
      <c r="AA14" s="179">
        <v>0</v>
      </c>
      <c r="AB14" s="179">
        <v>78779</v>
      </c>
      <c r="AC14" s="179">
        <v>0</v>
      </c>
      <c r="AD14" s="179">
        <v>0</v>
      </c>
      <c r="AE14" s="179">
        <v>0</v>
      </c>
      <c r="AF14" s="179">
        <v>0</v>
      </c>
      <c r="AG14" s="179">
        <v>729</v>
      </c>
      <c r="AH14" s="179">
        <v>0</v>
      </c>
      <c r="AI14" s="179">
        <v>0</v>
      </c>
      <c r="AJ14" s="179">
        <v>0</v>
      </c>
      <c r="AK14" s="179">
        <v>11591</v>
      </c>
      <c r="AL14" s="179">
        <v>31407</v>
      </c>
      <c r="AM14" s="179">
        <v>18054</v>
      </c>
      <c r="AN14" s="185"/>
      <c r="AO14" s="164">
        <f t="shared" si="0"/>
        <v>2255854</v>
      </c>
      <c r="AP14" s="164"/>
      <c r="AQ14" s="164"/>
      <c r="AR14" s="185"/>
    </row>
    <row r="15" spans="1:44" ht="12.75" customHeight="1">
      <c r="A15" s="177" t="s">
        <v>133</v>
      </c>
      <c r="B15" s="177"/>
      <c r="C15" s="198">
        <f>SUM(C6:C14)</f>
        <v>99595918</v>
      </c>
      <c r="D15" s="198">
        <f aca="true" t="shared" si="1" ref="D15:AM15">SUM(D6:D14)</f>
        <v>64722765</v>
      </c>
      <c r="E15" s="198">
        <f t="shared" si="1"/>
        <v>65371423</v>
      </c>
      <c r="F15" s="198">
        <f t="shared" si="1"/>
        <v>65382897</v>
      </c>
      <c r="G15" s="198">
        <f t="shared" si="1"/>
        <v>51857872</v>
      </c>
      <c r="H15" s="198">
        <f>SUM(H6:H14)</f>
        <v>55119081</v>
      </c>
      <c r="I15" s="198">
        <f>SUM(I6:I14)</f>
        <v>42097602</v>
      </c>
      <c r="J15" s="198">
        <f t="shared" si="1"/>
        <v>61288623</v>
      </c>
      <c r="K15" s="198">
        <f t="shared" si="1"/>
        <v>6209413</v>
      </c>
      <c r="L15" s="198">
        <f t="shared" si="1"/>
        <v>25540564</v>
      </c>
      <c r="M15" s="198">
        <f>SUM(M6:M14)</f>
        <v>33743414</v>
      </c>
      <c r="N15" s="198">
        <f t="shared" si="1"/>
        <v>28951198</v>
      </c>
      <c r="O15" s="198">
        <f t="shared" si="1"/>
        <v>19090193</v>
      </c>
      <c r="P15" s="198">
        <f>SUM(P6:P14)</f>
        <v>29616364</v>
      </c>
      <c r="Q15" s="198">
        <f>SUM(Q6:Q14)</f>
        <v>21533762</v>
      </c>
      <c r="R15" s="198">
        <f t="shared" si="1"/>
        <v>12185286</v>
      </c>
      <c r="S15" s="198">
        <f>SUM(S6:S14)</f>
        <v>2806197</v>
      </c>
      <c r="T15" s="198">
        <f t="shared" si="1"/>
        <v>6424246</v>
      </c>
      <c r="U15" s="198">
        <f t="shared" si="1"/>
        <v>8443115</v>
      </c>
      <c r="V15" s="198">
        <f t="shared" si="1"/>
        <v>12141887</v>
      </c>
      <c r="W15" s="198">
        <f t="shared" si="1"/>
        <v>3646441</v>
      </c>
      <c r="X15" s="198">
        <f>SUM(X6:X14)</f>
        <v>6082788</v>
      </c>
      <c r="Y15" s="198">
        <f t="shared" si="1"/>
        <v>1924030</v>
      </c>
      <c r="Z15" s="198">
        <f>SUM(Z6:Z14)</f>
        <v>5122885</v>
      </c>
      <c r="AA15" s="198">
        <f t="shared" si="1"/>
        <v>1480538</v>
      </c>
      <c r="AB15" s="198">
        <f aca="true" t="shared" si="2" ref="AB15:AJ15">SUM(AB6:AB14)</f>
        <v>2694667</v>
      </c>
      <c r="AC15" s="198">
        <f t="shared" si="2"/>
        <v>2001300</v>
      </c>
      <c r="AD15" s="198">
        <f>SUM(AD6:AD14)</f>
        <v>500944</v>
      </c>
      <c r="AE15" s="198">
        <f t="shared" si="2"/>
        <v>470294</v>
      </c>
      <c r="AF15" s="198">
        <f t="shared" si="2"/>
        <v>671472</v>
      </c>
      <c r="AG15" s="198">
        <f t="shared" si="2"/>
        <v>148920</v>
      </c>
      <c r="AH15" s="198">
        <f t="shared" si="2"/>
        <v>182094</v>
      </c>
      <c r="AI15" s="198">
        <f t="shared" si="2"/>
        <v>79790</v>
      </c>
      <c r="AJ15" s="198">
        <f t="shared" si="2"/>
        <v>318175</v>
      </c>
      <c r="AK15" s="198">
        <f t="shared" si="1"/>
        <v>40427</v>
      </c>
      <c r="AL15" s="198">
        <f t="shared" si="1"/>
        <v>90938</v>
      </c>
      <c r="AM15" s="198">
        <f t="shared" si="1"/>
        <v>204158</v>
      </c>
      <c r="AN15" s="198"/>
      <c r="AO15" s="198">
        <f>SUM(AO6:AO14)</f>
        <v>737781681</v>
      </c>
      <c r="AP15" s="164"/>
      <c r="AQ15" s="164"/>
      <c r="AR15" s="185"/>
    </row>
    <row r="16" spans="1:44" ht="12.75" customHeight="1">
      <c r="A16" s="164"/>
      <c r="B16" s="164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O16" s="164"/>
      <c r="AP16" s="164"/>
      <c r="AQ16" s="164"/>
      <c r="AR16" s="185"/>
    </row>
    <row r="17" spans="1:44" ht="12.75" customHeight="1">
      <c r="A17" s="176" t="s">
        <v>134</v>
      </c>
      <c r="B17" s="176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64"/>
      <c r="AP17" s="164"/>
      <c r="AQ17" s="164"/>
      <c r="AR17" s="185"/>
    </row>
    <row r="18" spans="1:44" ht="12.75" customHeight="1">
      <c r="A18" s="174" t="s">
        <v>47</v>
      </c>
      <c r="B18" s="174"/>
      <c r="C18" s="179">
        <v>16010640</v>
      </c>
      <c r="D18" s="179">
        <v>4256719</v>
      </c>
      <c r="E18" s="179">
        <v>5442567</v>
      </c>
      <c r="F18" s="179">
        <v>2323751</v>
      </c>
      <c r="G18" s="179">
        <v>1497751</v>
      </c>
      <c r="H18" s="179">
        <v>2014432</v>
      </c>
      <c r="I18" s="179">
        <v>1735171</v>
      </c>
      <c r="J18" s="179">
        <v>1054947</v>
      </c>
      <c r="K18" s="179">
        <v>640968</v>
      </c>
      <c r="L18" s="179">
        <v>1220241</v>
      </c>
      <c r="M18" s="179">
        <v>1933002</v>
      </c>
      <c r="N18" s="179">
        <v>1021830</v>
      </c>
      <c r="O18" s="179">
        <v>274915</v>
      </c>
      <c r="P18" s="179">
        <v>372742</v>
      </c>
      <c r="Q18" s="179">
        <v>294987</v>
      </c>
      <c r="R18" s="179">
        <v>585422</v>
      </c>
      <c r="S18" s="179">
        <v>528666</v>
      </c>
      <c r="T18" s="179">
        <v>1124359</v>
      </c>
      <c r="U18" s="179">
        <v>793783</v>
      </c>
      <c r="V18" s="179">
        <v>481727</v>
      </c>
      <c r="W18" s="179">
        <v>427579</v>
      </c>
      <c r="X18" s="179">
        <v>469907</v>
      </c>
      <c r="Y18" s="179">
        <v>193233</v>
      </c>
      <c r="Z18" s="179">
        <v>274934</v>
      </c>
      <c r="AA18" s="179">
        <v>95429</v>
      </c>
      <c r="AB18" s="179">
        <v>60035</v>
      </c>
      <c r="AC18" s="179">
        <v>168123</v>
      </c>
      <c r="AD18" s="179">
        <v>106070</v>
      </c>
      <c r="AE18" s="179">
        <v>50785</v>
      </c>
      <c r="AF18" s="179">
        <v>138714</v>
      </c>
      <c r="AG18" s="179">
        <v>41143</v>
      </c>
      <c r="AH18" s="179">
        <v>50421</v>
      </c>
      <c r="AI18" s="179">
        <v>42836</v>
      </c>
      <c r="AJ18" s="179">
        <v>54221</v>
      </c>
      <c r="AK18" s="179">
        <v>29030</v>
      </c>
      <c r="AL18" s="179">
        <v>79211</v>
      </c>
      <c r="AM18" s="179">
        <v>198151</v>
      </c>
      <c r="AN18" s="185"/>
      <c r="AO18" s="164">
        <f>SUM(C18:AM18)</f>
        <v>46088442</v>
      </c>
      <c r="AP18" s="164"/>
      <c r="AQ18" s="164"/>
      <c r="AR18" s="185"/>
    </row>
    <row r="19" spans="1:44" ht="12.75" customHeight="1">
      <c r="A19" s="174" t="s">
        <v>135</v>
      </c>
      <c r="B19" s="174"/>
      <c r="C19" s="179">
        <v>518265</v>
      </c>
      <c r="D19" s="179">
        <v>209866</v>
      </c>
      <c r="E19" s="179">
        <v>125233</v>
      </c>
      <c r="F19" s="179">
        <v>118781</v>
      </c>
      <c r="G19" s="179">
        <v>68197</v>
      </c>
      <c r="H19" s="179">
        <v>58155</v>
      </c>
      <c r="I19" s="179">
        <v>66058</v>
      </c>
      <c r="J19" s="179">
        <v>201319</v>
      </c>
      <c r="K19" s="179">
        <v>44362</v>
      </c>
      <c r="L19" s="179">
        <v>67008</v>
      </c>
      <c r="M19" s="179">
        <v>14372</v>
      </c>
      <c r="N19" s="179">
        <v>45561</v>
      </c>
      <c r="O19" s="179">
        <v>125342</v>
      </c>
      <c r="P19" s="179">
        <v>7456</v>
      </c>
      <c r="Q19" s="179">
        <v>19530</v>
      </c>
      <c r="R19" s="179">
        <v>16578</v>
      </c>
      <c r="S19" s="179">
        <v>25317</v>
      </c>
      <c r="T19" s="179">
        <v>42882</v>
      </c>
      <c r="U19" s="179">
        <v>50291</v>
      </c>
      <c r="V19" s="179">
        <v>285</v>
      </c>
      <c r="W19" s="179">
        <v>0</v>
      </c>
      <c r="X19" s="179">
        <v>245</v>
      </c>
      <c r="Y19" s="179">
        <v>7410</v>
      </c>
      <c r="Z19" s="179">
        <v>4275</v>
      </c>
      <c r="AA19" s="179">
        <v>8758</v>
      </c>
      <c r="AB19" s="179">
        <v>6659</v>
      </c>
      <c r="AC19" s="179">
        <v>24035</v>
      </c>
      <c r="AD19" s="179">
        <v>7122</v>
      </c>
      <c r="AE19" s="179">
        <v>38</v>
      </c>
      <c r="AF19" s="179">
        <v>4171</v>
      </c>
      <c r="AG19" s="179">
        <v>165</v>
      </c>
      <c r="AH19" s="179">
        <v>0</v>
      </c>
      <c r="AI19" s="179">
        <v>0</v>
      </c>
      <c r="AJ19" s="179">
        <v>1854</v>
      </c>
      <c r="AK19" s="179">
        <v>20</v>
      </c>
      <c r="AL19" s="179">
        <v>0</v>
      </c>
      <c r="AM19" s="179">
        <v>7</v>
      </c>
      <c r="AN19" s="185"/>
      <c r="AO19" s="164">
        <f>SUM(C19:AM19)</f>
        <v>1889617</v>
      </c>
      <c r="AP19" s="164"/>
      <c r="AQ19" s="164"/>
      <c r="AR19" s="185"/>
    </row>
    <row r="20" spans="1:44" ht="12.75" customHeight="1">
      <c r="A20" s="174" t="s">
        <v>136</v>
      </c>
      <c r="B20" s="174"/>
      <c r="C20" s="179">
        <v>262169</v>
      </c>
      <c r="D20" s="179">
        <v>192794</v>
      </c>
      <c r="E20" s="179">
        <v>108371</v>
      </c>
      <c r="F20" s="179">
        <v>115848</v>
      </c>
      <c r="G20" s="179">
        <v>60785</v>
      </c>
      <c r="H20" s="179">
        <v>113766</v>
      </c>
      <c r="I20" s="179">
        <v>81124</v>
      </c>
      <c r="J20" s="179">
        <v>88527</v>
      </c>
      <c r="K20" s="179">
        <v>82420</v>
      </c>
      <c r="L20" s="179">
        <v>72000</v>
      </c>
      <c r="M20" s="179">
        <v>33828</v>
      </c>
      <c r="N20" s="179">
        <v>55274</v>
      </c>
      <c r="O20" s="179">
        <v>43729</v>
      </c>
      <c r="P20" s="179">
        <v>72314</v>
      </c>
      <c r="Q20" s="179">
        <v>52650</v>
      </c>
      <c r="R20" s="179">
        <v>54139</v>
      </c>
      <c r="S20" s="179">
        <v>27188</v>
      </c>
      <c r="T20" s="179">
        <v>20876</v>
      </c>
      <c r="U20" s="179">
        <v>36456</v>
      </c>
      <c r="V20" s="179">
        <v>18882</v>
      </c>
      <c r="W20" s="179">
        <v>4075</v>
      </c>
      <c r="X20" s="179">
        <v>24757</v>
      </c>
      <c r="Y20" s="179">
        <v>8181</v>
      </c>
      <c r="Z20" s="179">
        <v>11170</v>
      </c>
      <c r="AA20" s="179">
        <v>6337</v>
      </c>
      <c r="AB20" s="179">
        <v>5772</v>
      </c>
      <c r="AC20" s="179">
        <v>7026</v>
      </c>
      <c r="AD20" s="179">
        <v>19103</v>
      </c>
      <c r="AE20" s="179">
        <v>6502</v>
      </c>
      <c r="AF20" s="179">
        <v>-870</v>
      </c>
      <c r="AG20" s="179">
        <v>2769</v>
      </c>
      <c r="AH20" s="179">
        <v>2476</v>
      </c>
      <c r="AI20" s="179">
        <v>1455</v>
      </c>
      <c r="AJ20" s="179">
        <v>1854</v>
      </c>
      <c r="AK20" s="179">
        <v>801</v>
      </c>
      <c r="AL20" s="179">
        <v>3804</v>
      </c>
      <c r="AM20" s="179">
        <v>3257</v>
      </c>
      <c r="AN20" s="185"/>
      <c r="AO20" s="164">
        <f>SUM(C20:AM20)</f>
        <v>1701609</v>
      </c>
      <c r="AP20" s="164"/>
      <c r="AQ20" s="164"/>
      <c r="AR20" s="185"/>
    </row>
    <row r="21" spans="1:44" ht="12.75" customHeight="1">
      <c r="A21" s="174" t="s">
        <v>137</v>
      </c>
      <c r="B21" s="174"/>
      <c r="C21" s="179">
        <v>0</v>
      </c>
      <c r="D21" s="179">
        <v>0</v>
      </c>
      <c r="E21" s="179">
        <v>167</v>
      </c>
      <c r="F21" s="179">
        <v>0</v>
      </c>
      <c r="G21" s="179">
        <v>0</v>
      </c>
      <c r="H21" s="179">
        <v>0</v>
      </c>
      <c r="I21" s="179">
        <v>0</v>
      </c>
      <c r="J21" s="179">
        <v>24220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79">
        <v>0</v>
      </c>
      <c r="R21" s="179">
        <v>0</v>
      </c>
      <c r="S21" s="179">
        <v>0</v>
      </c>
      <c r="T21" s="179">
        <v>0</v>
      </c>
      <c r="U21" s="179">
        <v>0</v>
      </c>
      <c r="V21" s="179">
        <v>0</v>
      </c>
      <c r="W21" s="179">
        <v>0</v>
      </c>
      <c r="X21" s="179">
        <v>0</v>
      </c>
      <c r="Y21" s="179">
        <v>0</v>
      </c>
      <c r="Z21" s="179">
        <v>0</v>
      </c>
      <c r="AA21" s="179">
        <v>0</v>
      </c>
      <c r="AB21" s="179">
        <v>0</v>
      </c>
      <c r="AC21" s="179">
        <v>0</v>
      </c>
      <c r="AD21" s="179">
        <v>0</v>
      </c>
      <c r="AE21" s="179">
        <v>0</v>
      </c>
      <c r="AF21" s="179">
        <v>0</v>
      </c>
      <c r="AG21" s="179">
        <v>0</v>
      </c>
      <c r="AH21" s="179">
        <v>0</v>
      </c>
      <c r="AI21" s="179">
        <v>0</v>
      </c>
      <c r="AJ21" s="179">
        <v>0</v>
      </c>
      <c r="AK21" s="179">
        <v>0</v>
      </c>
      <c r="AL21" s="179">
        <v>0</v>
      </c>
      <c r="AM21" s="179">
        <v>0</v>
      </c>
      <c r="AN21" s="185"/>
      <c r="AO21" s="164">
        <f>SUM(C21:AM21)</f>
        <v>24387</v>
      </c>
      <c r="AP21" s="164"/>
      <c r="AQ21" s="164"/>
      <c r="AR21" s="185"/>
    </row>
    <row r="22" spans="1:44" ht="12.75" customHeight="1">
      <c r="A22" s="174" t="s">
        <v>138</v>
      </c>
      <c r="B22" s="174"/>
      <c r="C22" s="179">
        <v>0</v>
      </c>
      <c r="D22" s="179">
        <v>67561</v>
      </c>
      <c r="E22" s="179">
        <v>6025</v>
      </c>
      <c r="F22" s="179">
        <v>97082</v>
      </c>
      <c r="G22" s="179">
        <v>3802</v>
      </c>
      <c r="H22" s="179">
        <v>701629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44156</v>
      </c>
      <c r="O22" s="179">
        <v>0</v>
      </c>
      <c r="P22" s="179">
        <v>0</v>
      </c>
      <c r="Q22" s="179">
        <v>0</v>
      </c>
      <c r="R22" s="179">
        <v>0</v>
      </c>
      <c r="S22" s="179">
        <v>14636</v>
      </c>
      <c r="T22" s="179">
        <v>42469</v>
      </c>
      <c r="U22" s="179">
        <v>0</v>
      </c>
      <c r="V22" s="179">
        <v>0</v>
      </c>
      <c r="W22" s="179">
        <v>84359</v>
      </c>
      <c r="X22" s="179">
        <v>0</v>
      </c>
      <c r="Y22" s="179">
        <v>679215</v>
      </c>
      <c r="Z22" s="179">
        <v>0</v>
      </c>
      <c r="AA22" s="179">
        <v>0</v>
      </c>
      <c r="AB22" s="179">
        <v>78468</v>
      </c>
      <c r="AC22" s="179">
        <v>101000</v>
      </c>
      <c r="AD22" s="179">
        <v>0</v>
      </c>
      <c r="AE22" s="179">
        <v>0</v>
      </c>
      <c r="AF22" s="179">
        <v>0</v>
      </c>
      <c r="AG22" s="179">
        <v>29840</v>
      </c>
      <c r="AH22" s="179">
        <v>0</v>
      </c>
      <c r="AI22" s="179">
        <v>1</v>
      </c>
      <c r="AJ22" s="179">
        <v>0</v>
      </c>
      <c r="AK22" s="179">
        <v>0</v>
      </c>
      <c r="AL22" s="179">
        <v>0</v>
      </c>
      <c r="AM22" s="179">
        <v>0</v>
      </c>
      <c r="AN22" s="185"/>
      <c r="AO22" s="164">
        <f>SUM(C22:AM22)</f>
        <v>1950243</v>
      </c>
      <c r="AP22" s="164"/>
      <c r="AQ22" s="164"/>
      <c r="AR22" s="185"/>
    </row>
    <row r="23" spans="1:44" ht="12.75" customHeight="1">
      <c r="A23" s="177" t="s">
        <v>139</v>
      </c>
      <c r="B23" s="177"/>
      <c r="C23" s="199">
        <f>SUM(C18:C22)</f>
        <v>16791074</v>
      </c>
      <c r="D23" s="199">
        <f aca="true" t="shared" si="3" ref="D23:AM23">SUM(D18:D22)</f>
        <v>4726940</v>
      </c>
      <c r="E23" s="199">
        <f t="shared" si="3"/>
        <v>5682363</v>
      </c>
      <c r="F23" s="199">
        <f t="shared" si="3"/>
        <v>2655462</v>
      </c>
      <c r="G23" s="199">
        <f t="shared" si="3"/>
        <v>1630535</v>
      </c>
      <c r="H23" s="199">
        <f>SUM(H18:H22)</f>
        <v>2887982</v>
      </c>
      <c r="I23" s="199">
        <f t="shared" si="3"/>
        <v>1882353</v>
      </c>
      <c r="J23" s="199">
        <f t="shared" si="3"/>
        <v>1369013</v>
      </c>
      <c r="K23" s="199">
        <f t="shared" si="3"/>
        <v>767750</v>
      </c>
      <c r="L23" s="199">
        <f t="shared" si="3"/>
        <v>1359249</v>
      </c>
      <c r="M23" s="199">
        <f>SUM(M18:M22)</f>
        <v>1981202</v>
      </c>
      <c r="N23" s="199">
        <f t="shared" si="3"/>
        <v>1166821</v>
      </c>
      <c r="O23" s="199">
        <f t="shared" si="3"/>
        <v>443986</v>
      </c>
      <c r="P23" s="199">
        <f>SUM(P18:P22)</f>
        <v>452512</v>
      </c>
      <c r="Q23" s="199">
        <f>SUM(Q18:Q22)</f>
        <v>367167</v>
      </c>
      <c r="R23" s="199">
        <f t="shared" si="3"/>
        <v>656139</v>
      </c>
      <c r="S23" s="199">
        <f>SUM(S18:S22)</f>
        <v>595807</v>
      </c>
      <c r="T23" s="199">
        <f t="shared" si="3"/>
        <v>1230586</v>
      </c>
      <c r="U23" s="199">
        <f t="shared" si="3"/>
        <v>880530</v>
      </c>
      <c r="V23" s="199">
        <f t="shared" si="3"/>
        <v>500894</v>
      </c>
      <c r="W23" s="199">
        <f t="shared" si="3"/>
        <v>516013</v>
      </c>
      <c r="X23" s="199">
        <f>SUM(X18:X22)</f>
        <v>494909</v>
      </c>
      <c r="Y23" s="199">
        <f t="shared" si="3"/>
        <v>888039</v>
      </c>
      <c r="Z23" s="199">
        <f>SUM(Z18:Z22)</f>
        <v>290379</v>
      </c>
      <c r="AA23" s="199">
        <f t="shared" si="3"/>
        <v>110524</v>
      </c>
      <c r="AB23" s="199">
        <f aca="true" t="shared" si="4" ref="AB23:AJ23">SUM(AB18:AB22)</f>
        <v>150934</v>
      </c>
      <c r="AC23" s="199">
        <f t="shared" si="4"/>
        <v>300184</v>
      </c>
      <c r="AD23" s="199">
        <f>SUM(AD18:AD22)</f>
        <v>132295</v>
      </c>
      <c r="AE23" s="199">
        <f t="shared" si="4"/>
        <v>57325</v>
      </c>
      <c r="AF23" s="199">
        <f t="shared" si="4"/>
        <v>142015</v>
      </c>
      <c r="AG23" s="199">
        <f t="shared" si="4"/>
        <v>73917</v>
      </c>
      <c r="AH23" s="199">
        <f t="shared" si="4"/>
        <v>52897</v>
      </c>
      <c r="AI23" s="199">
        <f t="shared" si="4"/>
        <v>44292</v>
      </c>
      <c r="AJ23" s="199">
        <f t="shared" si="4"/>
        <v>57929</v>
      </c>
      <c r="AK23" s="199">
        <f t="shared" si="3"/>
        <v>29851</v>
      </c>
      <c r="AL23" s="199">
        <f t="shared" si="3"/>
        <v>83015</v>
      </c>
      <c r="AM23" s="199">
        <f t="shared" si="3"/>
        <v>201415</v>
      </c>
      <c r="AN23" s="199"/>
      <c r="AO23" s="199">
        <f>SUM(AO18:AO22)</f>
        <v>51654298</v>
      </c>
      <c r="AP23" s="164"/>
      <c r="AQ23" s="164"/>
      <c r="AR23" s="185"/>
    </row>
    <row r="24" spans="1:44" ht="12.75" customHeight="1">
      <c r="A24" s="164"/>
      <c r="B24" s="164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99"/>
      <c r="AO24" s="199"/>
      <c r="AP24" s="164"/>
      <c r="AQ24" s="164"/>
      <c r="AR24" s="185"/>
    </row>
    <row r="25" spans="1:44" ht="12.75" customHeight="1">
      <c r="A25" s="176" t="s">
        <v>140</v>
      </c>
      <c r="B25" s="176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O25" s="164"/>
      <c r="AP25" s="164"/>
      <c r="AQ25" s="164"/>
      <c r="AR25" s="185"/>
    </row>
    <row r="26" spans="1:44" ht="12.75" customHeight="1">
      <c r="A26" s="176" t="s">
        <v>141</v>
      </c>
      <c r="B26" s="176"/>
      <c r="C26" s="199">
        <f>+C15-C23</f>
        <v>82804844</v>
      </c>
      <c r="D26" s="199">
        <f aca="true" t="shared" si="5" ref="D26:AM26">+D15-D23</f>
        <v>59995825</v>
      </c>
      <c r="E26" s="199">
        <f t="shared" si="5"/>
        <v>59689060</v>
      </c>
      <c r="F26" s="199">
        <f t="shared" si="5"/>
        <v>62727435</v>
      </c>
      <c r="G26" s="199">
        <f t="shared" si="5"/>
        <v>50227337</v>
      </c>
      <c r="H26" s="199">
        <f>+H15-H23</f>
        <v>52231099</v>
      </c>
      <c r="I26" s="199">
        <f t="shared" si="5"/>
        <v>40215249</v>
      </c>
      <c r="J26" s="199">
        <f t="shared" si="5"/>
        <v>59919610</v>
      </c>
      <c r="K26" s="199">
        <f t="shared" si="5"/>
        <v>5441663</v>
      </c>
      <c r="L26" s="199">
        <f t="shared" si="5"/>
        <v>24181315</v>
      </c>
      <c r="M26" s="199">
        <f>+M15-M23</f>
        <v>31762212</v>
      </c>
      <c r="N26" s="199">
        <f t="shared" si="5"/>
        <v>27784377</v>
      </c>
      <c r="O26" s="199">
        <f t="shared" si="5"/>
        <v>18646207</v>
      </c>
      <c r="P26" s="199">
        <f>+P15-P23</f>
        <v>29163852</v>
      </c>
      <c r="Q26" s="199">
        <f>+Q15-Q23</f>
        <v>21166595</v>
      </c>
      <c r="R26" s="199">
        <f t="shared" si="5"/>
        <v>11529147</v>
      </c>
      <c r="S26" s="199">
        <f>+S15-S23</f>
        <v>2210390</v>
      </c>
      <c r="T26" s="199">
        <f t="shared" si="5"/>
        <v>5193660</v>
      </c>
      <c r="U26" s="199">
        <f t="shared" si="5"/>
        <v>7562585</v>
      </c>
      <c r="V26" s="199">
        <f t="shared" si="5"/>
        <v>11640993</v>
      </c>
      <c r="W26" s="199">
        <f t="shared" si="5"/>
        <v>3130428</v>
      </c>
      <c r="X26" s="199">
        <f>+X15-X23</f>
        <v>5587879</v>
      </c>
      <c r="Y26" s="199">
        <f t="shared" si="5"/>
        <v>1035991</v>
      </c>
      <c r="Z26" s="199">
        <f>+Z15-Z23</f>
        <v>4832506</v>
      </c>
      <c r="AA26" s="199">
        <f t="shared" si="5"/>
        <v>1370014</v>
      </c>
      <c r="AB26" s="199">
        <f aca="true" t="shared" si="6" ref="AB26:AJ26">+AB15-AB23</f>
        <v>2543733</v>
      </c>
      <c r="AC26" s="199">
        <f t="shared" si="6"/>
        <v>1701116</v>
      </c>
      <c r="AD26" s="199">
        <f>+AD15-AD23</f>
        <v>368649</v>
      </c>
      <c r="AE26" s="199">
        <f t="shared" si="6"/>
        <v>412969</v>
      </c>
      <c r="AF26" s="199">
        <f t="shared" si="6"/>
        <v>529457</v>
      </c>
      <c r="AG26" s="199">
        <f t="shared" si="6"/>
        <v>75003</v>
      </c>
      <c r="AH26" s="199">
        <f t="shared" si="6"/>
        <v>129197</v>
      </c>
      <c r="AI26" s="199">
        <f t="shared" si="6"/>
        <v>35498</v>
      </c>
      <c r="AJ26" s="199">
        <f t="shared" si="6"/>
        <v>260246</v>
      </c>
      <c r="AK26" s="199">
        <f t="shared" si="5"/>
        <v>10576</v>
      </c>
      <c r="AL26" s="199">
        <f t="shared" si="5"/>
        <v>7923</v>
      </c>
      <c r="AM26" s="199">
        <f t="shared" si="5"/>
        <v>2743</v>
      </c>
      <c r="AN26" s="199"/>
      <c r="AO26" s="199">
        <f>+AO15-AO23</f>
        <v>686127383</v>
      </c>
      <c r="AP26" s="164"/>
      <c r="AQ26" s="164"/>
      <c r="AR26" s="185"/>
    </row>
    <row r="27" spans="1:44" ht="12.75" customHeight="1">
      <c r="A27" s="176"/>
      <c r="B27" s="176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O27" s="164"/>
      <c r="AP27" s="164"/>
      <c r="AQ27" s="164"/>
      <c r="AR27" s="185"/>
    </row>
    <row r="28" spans="1:44" ht="12.75" customHeight="1">
      <c r="A28" s="176" t="s">
        <v>142</v>
      </c>
      <c r="B28" s="176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O28" s="164"/>
      <c r="AP28" s="164"/>
      <c r="AQ28" s="164"/>
      <c r="AR28" s="185"/>
    </row>
    <row r="29" spans="1:44" ht="12.75" customHeight="1">
      <c r="A29" s="174" t="s">
        <v>143</v>
      </c>
      <c r="B29" s="174"/>
      <c r="C29" s="179">
        <v>39209045</v>
      </c>
      <c r="D29" s="179">
        <v>31885315</v>
      </c>
      <c r="E29" s="179">
        <v>40435578</v>
      </c>
      <c r="F29" s="179">
        <v>41449624</v>
      </c>
      <c r="G29" s="179">
        <v>32575033</v>
      </c>
      <c r="H29" s="179">
        <v>27335243</v>
      </c>
      <c r="I29" s="179">
        <v>29415426</v>
      </c>
      <c r="J29" s="179">
        <v>38357762</v>
      </c>
      <c r="K29" s="179">
        <v>945255</v>
      </c>
      <c r="L29" s="179">
        <v>18685880</v>
      </c>
      <c r="M29" s="179">
        <v>3662978</v>
      </c>
      <c r="N29" s="179">
        <v>14201483</v>
      </c>
      <c r="O29" s="179">
        <v>13911265</v>
      </c>
      <c r="P29" s="179">
        <v>29882488</v>
      </c>
      <c r="Q29" s="179">
        <v>13812810</v>
      </c>
      <c r="R29" s="179">
        <v>8561802</v>
      </c>
      <c r="S29" s="179">
        <v>1377134</v>
      </c>
      <c r="T29" s="179">
        <v>4101178</v>
      </c>
      <c r="U29" s="179">
        <v>6628550</v>
      </c>
      <c r="V29" s="179">
        <v>10442075</v>
      </c>
      <c r="W29" s="179">
        <v>2371703</v>
      </c>
      <c r="X29" s="179">
        <v>5219226</v>
      </c>
      <c r="Y29" s="179">
        <v>797068</v>
      </c>
      <c r="Z29" s="179">
        <v>1814169</v>
      </c>
      <c r="AA29" s="179">
        <v>989235</v>
      </c>
      <c r="AB29" s="179">
        <v>2424002</v>
      </c>
      <c r="AC29" s="179">
        <v>721343</v>
      </c>
      <c r="AD29" s="179">
        <v>184607</v>
      </c>
      <c r="AE29" s="179">
        <v>438036</v>
      </c>
      <c r="AF29" s="179">
        <v>489841</v>
      </c>
      <c r="AG29" s="179">
        <v>0</v>
      </c>
      <c r="AH29" s="179">
        <v>67406</v>
      </c>
      <c r="AI29" s="179">
        <v>0</v>
      </c>
      <c r="AJ29" s="179">
        <v>133026</v>
      </c>
      <c r="AK29" s="179">
        <v>10639</v>
      </c>
      <c r="AL29" s="179">
        <v>0</v>
      </c>
      <c r="AM29" s="179">
        <v>0</v>
      </c>
      <c r="AN29" s="185"/>
      <c r="AO29" s="164">
        <f aca="true" t="shared" si="7" ref="AO29:AO35">SUM(C29:AM29)</f>
        <v>422536225</v>
      </c>
      <c r="AP29" s="164"/>
      <c r="AQ29" s="164"/>
      <c r="AR29" s="185"/>
    </row>
    <row r="30" spans="1:44" ht="12.75" customHeight="1">
      <c r="A30" s="174" t="s">
        <v>144</v>
      </c>
      <c r="B30" s="174"/>
      <c r="C30" s="179">
        <v>24790127</v>
      </c>
      <c r="D30" s="179">
        <v>18496866</v>
      </c>
      <c r="E30" s="179">
        <v>9561320</v>
      </c>
      <c r="F30" s="179">
        <v>16554894</v>
      </c>
      <c r="G30" s="179">
        <v>17471405</v>
      </c>
      <c r="H30" s="179">
        <v>24909615</v>
      </c>
      <c r="I30" s="179">
        <v>6281639</v>
      </c>
      <c r="J30" s="179">
        <v>21570324</v>
      </c>
      <c r="K30" s="179">
        <v>4078039</v>
      </c>
      <c r="L30" s="179">
        <v>5349784</v>
      </c>
      <c r="M30" s="179">
        <v>28096354</v>
      </c>
      <c r="N30" s="179">
        <v>8538280</v>
      </c>
      <c r="O30" s="179">
        <v>3692499</v>
      </c>
      <c r="P30" s="179">
        <v>1541638</v>
      </c>
      <c r="Q30" s="179">
        <v>4871917</v>
      </c>
      <c r="R30" s="179">
        <v>2815755</v>
      </c>
      <c r="S30" s="179">
        <v>782564</v>
      </c>
      <c r="T30" s="179">
        <v>561093</v>
      </c>
      <c r="U30" s="179">
        <v>919424</v>
      </c>
      <c r="V30" s="179">
        <v>521916</v>
      </c>
      <c r="W30" s="179">
        <v>542586</v>
      </c>
      <c r="X30" s="179">
        <v>305757</v>
      </c>
      <c r="Y30" s="179">
        <v>227001</v>
      </c>
      <c r="Z30" s="179">
        <v>2943481</v>
      </c>
      <c r="AA30" s="179">
        <v>448526</v>
      </c>
      <c r="AB30" s="179">
        <v>108410</v>
      </c>
      <c r="AC30" s="179">
        <v>1024623</v>
      </c>
      <c r="AD30" s="179">
        <v>95825</v>
      </c>
      <c r="AE30" s="179">
        <v>15293</v>
      </c>
      <c r="AF30" s="179">
        <v>10069</v>
      </c>
      <c r="AG30" s="179">
        <v>177361</v>
      </c>
      <c r="AH30" s="179">
        <v>46068</v>
      </c>
      <c r="AI30" s="179">
        <v>40396</v>
      </c>
      <c r="AJ30" s="179">
        <v>34716</v>
      </c>
      <c r="AK30" s="179">
        <v>0</v>
      </c>
      <c r="AL30" s="179">
        <v>0</v>
      </c>
      <c r="AM30" s="179">
        <v>0</v>
      </c>
      <c r="AN30" s="185"/>
      <c r="AO30" s="164">
        <f t="shared" si="7"/>
        <v>207425565</v>
      </c>
      <c r="AP30" s="164"/>
      <c r="AQ30" s="164"/>
      <c r="AR30" s="185"/>
    </row>
    <row r="31" spans="1:44" ht="12.75" customHeight="1">
      <c r="A31" s="174" t="s">
        <v>145</v>
      </c>
      <c r="B31" s="174"/>
      <c r="C31" s="179">
        <v>8059279</v>
      </c>
      <c r="D31" s="179">
        <v>5216915</v>
      </c>
      <c r="E31" s="179">
        <v>1866002</v>
      </c>
      <c r="F31" s="179">
        <v>3774736</v>
      </c>
      <c r="G31" s="179">
        <v>0</v>
      </c>
      <c r="H31" s="179">
        <v>54789</v>
      </c>
      <c r="I31" s="179">
        <v>2917652</v>
      </c>
      <c r="J31" s="179">
        <v>162580</v>
      </c>
      <c r="K31" s="179">
        <v>379942</v>
      </c>
      <c r="L31" s="179">
        <v>215660</v>
      </c>
      <c r="M31" s="179">
        <v>0</v>
      </c>
      <c r="N31" s="179">
        <v>534458</v>
      </c>
      <c r="O31" s="179">
        <v>0</v>
      </c>
      <c r="P31" s="179">
        <v>0</v>
      </c>
      <c r="Q31" s="179">
        <v>2485257</v>
      </c>
      <c r="R31" s="179">
        <v>97733</v>
      </c>
      <c r="S31" s="179">
        <v>0</v>
      </c>
      <c r="T31" s="179">
        <v>490565</v>
      </c>
      <c r="U31" s="179">
        <v>6700</v>
      </c>
      <c r="V31" s="179">
        <v>659310</v>
      </c>
      <c r="W31" s="179">
        <v>35551</v>
      </c>
      <c r="X31" s="179">
        <v>0</v>
      </c>
      <c r="Y31" s="179">
        <v>0</v>
      </c>
      <c r="Z31" s="179">
        <v>1600</v>
      </c>
      <c r="AA31" s="179">
        <v>0</v>
      </c>
      <c r="AB31" s="179">
        <v>13000</v>
      </c>
      <c r="AC31" s="179">
        <v>0</v>
      </c>
      <c r="AD31" s="179">
        <v>90468</v>
      </c>
      <c r="AE31" s="179">
        <v>0</v>
      </c>
      <c r="AF31" s="179">
        <v>0</v>
      </c>
      <c r="AG31" s="179">
        <v>0</v>
      </c>
      <c r="AH31" s="179">
        <v>0</v>
      </c>
      <c r="AI31" s="179">
        <v>0</v>
      </c>
      <c r="AJ31" s="179">
        <v>84189</v>
      </c>
      <c r="AK31" s="179">
        <v>0</v>
      </c>
      <c r="AL31" s="179">
        <v>0</v>
      </c>
      <c r="AM31" s="179">
        <v>0</v>
      </c>
      <c r="AN31" s="185"/>
      <c r="AO31" s="164">
        <f t="shared" si="7"/>
        <v>27146386</v>
      </c>
      <c r="AP31" s="164"/>
      <c r="AQ31" s="164"/>
      <c r="AR31" s="185"/>
    </row>
    <row r="32" spans="1:44" ht="12.75" customHeight="1">
      <c r="A32" s="174" t="s">
        <v>146</v>
      </c>
      <c r="B32" s="174"/>
      <c r="C32" s="179">
        <v>0</v>
      </c>
      <c r="D32" s="179">
        <v>0</v>
      </c>
      <c r="E32" s="179">
        <v>0</v>
      </c>
      <c r="F32" s="179">
        <v>0</v>
      </c>
      <c r="G32" s="179">
        <v>25241</v>
      </c>
      <c r="H32" s="179">
        <v>242216</v>
      </c>
      <c r="I32" s="179">
        <v>87679</v>
      </c>
      <c r="J32" s="179">
        <v>0</v>
      </c>
      <c r="K32" s="179">
        <v>0</v>
      </c>
      <c r="L32" s="179">
        <v>19513</v>
      </c>
      <c r="M32" s="179">
        <v>0</v>
      </c>
      <c r="N32" s="179">
        <v>3530000</v>
      </c>
      <c r="O32" s="179">
        <v>997074</v>
      </c>
      <c r="P32" s="179">
        <v>-2202315</v>
      </c>
      <c r="Q32" s="179">
        <v>-160708</v>
      </c>
      <c r="R32" s="179">
        <v>0</v>
      </c>
      <c r="S32" s="179">
        <v>0</v>
      </c>
      <c r="T32" s="179">
        <v>0</v>
      </c>
      <c r="U32" s="179">
        <v>0</v>
      </c>
      <c r="V32" s="179">
        <v>0</v>
      </c>
      <c r="W32" s="179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9">
        <v>0</v>
      </c>
      <c r="AD32" s="179">
        <v>0</v>
      </c>
      <c r="AE32" s="179">
        <v>0</v>
      </c>
      <c r="AF32" s="179">
        <v>0</v>
      </c>
      <c r="AG32" s="179">
        <v>0</v>
      </c>
      <c r="AH32" s="179">
        <v>10715</v>
      </c>
      <c r="AI32" s="179">
        <v>0</v>
      </c>
      <c r="AJ32" s="179">
        <v>15052</v>
      </c>
      <c r="AK32" s="179">
        <v>0</v>
      </c>
      <c r="AL32" s="179">
        <v>0</v>
      </c>
      <c r="AM32" s="179">
        <v>0</v>
      </c>
      <c r="AN32" s="185"/>
      <c r="AO32" s="164">
        <f t="shared" si="7"/>
        <v>2564467</v>
      </c>
      <c r="AP32" s="164"/>
      <c r="AQ32" s="164"/>
      <c r="AR32" s="185"/>
    </row>
    <row r="33" spans="1:44" ht="12.75" customHeight="1">
      <c r="A33" s="174" t="s">
        <v>147</v>
      </c>
      <c r="B33" s="174"/>
      <c r="C33" s="179">
        <v>95039</v>
      </c>
      <c r="D33" s="179">
        <v>5129</v>
      </c>
      <c r="E33" s="179">
        <v>0</v>
      </c>
      <c r="F33" s="179">
        <v>0</v>
      </c>
      <c r="G33" s="179">
        <v>0</v>
      </c>
      <c r="H33" s="179">
        <v>968</v>
      </c>
      <c r="I33" s="179">
        <v>8500</v>
      </c>
      <c r="J33" s="179">
        <v>0</v>
      </c>
      <c r="K33" s="179">
        <v>23370</v>
      </c>
      <c r="L33" s="179">
        <v>0</v>
      </c>
      <c r="M33" s="179">
        <v>0</v>
      </c>
      <c r="N33" s="179">
        <v>0</v>
      </c>
      <c r="O33" s="179">
        <v>1166</v>
      </c>
      <c r="P33" s="179">
        <v>0</v>
      </c>
      <c r="Q33" s="179">
        <v>0</v>
      </c>
      <c r="R33" s="179">
        <v>0</v>
      </c>
      <c r="S33" s="179">
        <v>590</v>
      </c>
      <c r="T33" s="179">
        <v>0</v>
      </c>
      <c r="U33" s="179">
        <v>309</v>
      </c>
      <c r="V33" s="179">
        <v>0</v>
      </c>
      <c r="W33" s="179">
        <v>0</v>
      </c>
      <c r="X33" s="179">
        <v>0</v>
      </c>
      <c r="Y33" s="179">
        <v>0</v>
      </c>
      <c r="Z33" s="179">
        <v>0</v>
      </c>
      <c r="AA33" s="179">
        <v>258</v>
      </c>
      <c r="AB33" s="179">
        <v>0</v>
      </c>
      <c r="AC33" s="179">
        <v>0</v>
      </c>
      <c r="AD33" s="179">
        <v>0</v>
      </c>
      <c r="AE33" s="179">
        <v>0</v>
      </c>
      <c r="AF33" s="179">
        <v>0</v>
      </c>
      <c r="AG33" s="179">
        <v>0</v>
      </c>
      <c r="AH33" s="179">
        <v>0</v>
      </c>
      <c r="AI33" s="179">
        <v>0</v>
      </c>
      <c r="AJ33" s="179">
        <v>0</v>
      </c>
      <c r="AK33" s="179">
        <v>0</v>
      </c>
      <c r="AL33" s="179">
        <v>0</v>
      </c>
      <c r="AM33" s="179">
        <v>0</v>
      </c>
      <c r="AN33" s="185"/>
      <c r="AO33" s="164">
        <f t="shared" si="7"/>
        <v>135329</v>
      </c>
      <c r="AP33" s="164"/>
      <c r="AQ33" s="164"/>
      <c r="AR33" s="185"/>
    </row>
    <row r="34" spans="1:44" ht="12.75" customHeight="1">
      <c r="A34" s="174" t="s">
        <v>148</v>
      </c>
      <c r="B34" s="174"/>
      <c r="C34" s="179">
        <v>4282</v>
      </c>
      <c r="D34" s="179">
        <v>0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0</v>
      </c>
      <c r="Q34" s="179">
        <v>0</v>
      </c>
      <c r="R34" s="179">
        <v>0</v>
      </c>
      <c r="S34" s="179">
        <v>0</v>
      </c>
      <c r="T34" s="179">
        <v>475</v>
      </c>
      <c r="U34" s="179">
        <v>0</v>
      </c>
      <c r="V34" s="179">
        <v>0</v>
      </c>
      <c r="W34" s="179">
        <v>0</v>
      </c>
      <c r="X34" s="179">
        <v>0</v>
      </c>
      <c r="Y34" s="179">
        <v>0</v>
      </c>
      <c r="Z34" s="179">
        <v>0</v>
      </c>
      <c r="AA34" s="179">
        <v>0</v>
      </c>
      <c r="AB34" s="179">
        <v>0</v>
      </c>
      <c r="AC34" s="179">
        <v>0</v>
      </c>
      <c r="AD34" s="179">
        <v>0</v>
      </c>
      <c r="AE34" s="179">
        <v>0</v>
      </c>
      <c r="AF34" s="179">
        <v>0</v>
      </c>
      <c r="AG34" s="179">
        <v>0</v>
      </c>
      <c r="AH34" s="179">
        <v>0</v>
      </c>
      <c r="AI34" s="179">
        <v>0</v>
      </c>
      <c r="AJ34" s="179">
        <v>0</v>
      </c>
      <c r="AK34" s="179">
        <v>0</v>
      </c>
      <c r="AL34" s="179">
        <v>0</v>
      </c>
      <c r="AM34" s="179">
        <v>0</v>
      </c>
      <c r="AN34" s="185"/>
      <c r="AO34" s="164">
        <f t="shared" si="7"/>
        <v>4757</v>
      </c>
      <c r="AP34" s="164"/>
      <c r="AQ34" s="164"/>
      <c r="AR34" s="185"/>
    </row>
    <row r="35" spans="1:44" ht="12.75" customHeight="1">
      <c r="A35" s="174" t="s">
        <v>149</v>
      </c>
      <c r="B35" s="174"/>
      <c r="C35" s="179">
        <v>0</v>
      </c>
      <c r="D35" s="179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-105568</v>
      </c>
      <c r="Q35" s="179">
        <v>0</v>
      </c>
      <c r="R35" s="179">
        <v>0</v>
      </c>
      <c r="S35" s="179">
        <v>0</v>
      </c>
      <c r="T35" s="179">
        <v>0</v>
      </c>
      <c r="U35" s="179">
        <v>0</v>
      </c>
      <c r="V35" s="179">
        <v>0</v>
      </c>
      <c r="W35" s="179">
        <v>0</v>
      </c>
      <c r="X35" s="179">
        <v>0</v>
      </c>
      <c r="Y35" s="179">
        <v>0</v>
      </c>
      <c r="Z35" s="179">
        <v>0</v>
      </c>
      <c r="AA35" s="179">
        <v>0</v>
      </c>
      <c r="AB35" s="179">
        <v>0</v>
      </c>
      <c r="AC35" s="179">
        <v>0</v>
      </c>
      <c r="AD35" s="179">
        <v>0</v>
      </c>
      <c r="AE35" s="179">
        <v>0</v>
      </c>
      <c r="AF35" s="179">
        <v>0</v>
      </c>
      <c r="AG35" s="179">
        <v>0</v>
      </c>
      <c r="AH35" s="179">
        <v>0</v>
      </c>
      <c r="AI35" s="179">
        <v>0</v>
      </c>
      <c r="AJ35" s="179">
        <v>0</v>
      </c>
      <c r="AK35" s="179">
        <v>0</v>
      </c>
      <c r="AL35" s="179">
        <v>0</v>
      </c>
      <c r="AM35" s="179">
        <v>0</v>
      </c>
      <c r="AN35" s="185"/>
      <c r="AO35" s="164">
        <f t="shared" si="7"/>
        <v>-105568</v>
      </c>
      <c r="AP35" s="164"/>
      <c r="AQ35" s="164"/>
      <c r="AR35" s="185"/>
    </row>
    <row r="36" spans="1:44" ht="12.75" customHeight="1">
      <c r="A36" s="177" t="s">
        <v>150</v>
      </c>
      <c r="B36" s="177"/>
      <c r="C36" s="199">
        <f>SUM(C29:C35)</f>
        <v>72157772</v>
      </c>
      <c r="D36" s="199">
        <f aca="true" t="shared" si="8" ref="D36:AM36">SUM(D29:D35)</f>
        <v>55604225</v>
      </c>
      <c r="E36" s="199">
        <f t="shared" si="8"/>
        <v>51862900</v>
      </c>
      <c r="F36" s="199">
        <f t="shared" si="8"/>
        <v>61779254</v>
      </c>
      <c r="G36" s="199">
        <f t="shared" si="8"/>
        <v>50071679</v>
      </c>
      <c r="H36" s="199">
        <f>SUM(H29:H35)</f>
        <v>52542831</v>
      </c>
      <c r="I36" s="199">
        <f>SUM(I29:I35)</f>
        <v>38710896</v>
      </c>
      <c r="J36" s="199">
        <f t="shared" si="8"/>
        <v>60090666</v>
      </c>
      <c r="K36" s="199">
        <f t="shared" si="8"/>
        <v>5426606</v>
      </c>
      <c r="L36" s="199">
        <f t="shared" si="8"/>
        <v>24270837</v>
      </c>
      <c r="M36" s="199">
        <f>SUM(M29:M35)</f>
        <v>31759332</v>
      </c>
      <c r="N36" s="199">
        <f t="shared" si="8"/>
        <v>26804221</v>
      </c>
      <c r="O36" s="199">
        <f t="shared" si="8"/>
        <v>18602004</v>
      </c>
      <c r="P36" s="199">
        <f>SUM(P29:P35)</f>
        <v>29116243</v>
      </c>
      <c r="Q36" s="199">
        <f>SUM(Q29:Q35)</f>
        <v>21009276</v>
      </c>
      <c r="R36" s="199">
        <f t="shared" si="8"/>
        <v>11475290</v>
      </c>
      <c r="S36" s="199">
        <f>SUM(S29:S35)</f>
        <v>2160288</v>
      </c>
      <c r="T36" s="199">
        <f t="shared" si="8"/>
        <v>5153311</v>
      </c>
      <c r="U36" s="199">
        <f t="shared" si="8"/>
        <v>7554983</v>
      </c>
      <c r="V36" s="199">
        <f t="shared" si="8"/>
        <v>11623301</v>
      </c>
      <c r="W36" s="199">
        <f t="shared" si="8"/>
        <v>2949840</v>
      </c>
      <c r="X36" s="199">
        <f>SUM(X29:X35)</f>
        <v>5524983</v>
      </c>
      <c r="Y36" s="199">
        <f t="shared" si="8"/>
        <v>1024069</v>
      </c>
      <c r="Z36" s="199">
        <f>SUM(Z29:Z35)</f>
        <v>4759250</v>
      </c>
      <c r="AA36" s="199">
        <f t="shared" si="8"/>
        <v>1438019</v>
      </c>
      <c r="AB36" s="199">
        <f aca="true" t="shared" si="9" ref="AB36:AJ36">SUM(AB29:AB35)</f>
        <v>2545412</v>
      </c>
      <c r="AC36" s="199">
        <f t="shared" si="9"/>
        <v>1745966</v>
      </c>
      <c r="AD36" s="199">
        <f>SUM(AD29:AD35)</f>
        <v>370900</v>
      </c>
      <c r="AE36" s="199">
        <f t="shared" si="9"/>
        <v>453329</v>
      </c>
      <c r="AF36" s="199">
        <f t="shared" si="9"/>
        <v>499910</v>
      </c>
      <c r="AG36" s="199">
        <f t="shared" si="9"/>
        <v>177361</v>
      </c>
      <c r="AH36" s="199">
        <f t="shared" si="9"/>
        <v>124189</v>
      </c>
      <c r="AI36" s="199">
        <f t="shared" si="9"/>
        <v>40396</v>
      </c>
      <c r="AJ36" s="199">
        <f t="shared" si="9"/>
        <v>266983</v>
      </c>
      <c r="AK36" s="199">
        <f t="shared" si="8"/>
        <v>10639</v>
      </c>
      <c r="AL36" s="199">
        <f t="shared" si="8"/>
        <v>0</v>
      </c>
      <c r="AM36" s="199">
        <f t="shared" si="8"/>
        <v>0</v>
      </c>
      <c r="AN36" s="199"/>
      <c r="AO36" s="199">
        <f>SUM(AO29:AO35)</f>
        <v>659707161</v>
      </c>
      <c r="AP36" s="164"/>
      <c r="AQ36" s="164"/>
      <c r="AR36" s="185"/>
    </row>
    <row r="37" spans="1:44" ht="12.75" customHeight="1">
      <c r="A37" s="174"/>
      <c r="B37" s="174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O37" s="164"/>
      <c r="AP37" s="164"/>
      <c r="AQ37" s="164"/>
      <c r="AR37" s="185"/>
    </row>
    <row r="38" spans="1:44" ht="12.75" customHeight="1">
      <c r="A38" s="176" t="s">
        <v>151</v>
      </c>
      <c r="B38" s="176"/>
      <c r="C38" s="199">
        <f>+C26-C36</f>
        <v>10647072</v>
      </c>
      <c r="D38" s="199">
        <f aca="true" t="shared" si="10" ref="D38:AM38">+D26-D36</f>
        <v>4391600</v>
      </c>
      <c r="E38" s="199">
        <f t="shared" si="10"/>
        <v>7826160</v>
      </c>
      <c r="F38" s="199">
        <f t="shared" si="10"/>
        <v>948181</v>
      </c>
      <c r="G38" s="199">
        <f t="shared" si="10"/>
        <v>155658</v>
      </c>
      <c r="H38" s="199">
        <f>+H26-H36</f>
        <v>-311732</v>
      </c>
      <c r="I38" s="199">
        <f t="shared" si="10"/>
        <v>1504353</v>
      </c>
      <c r="J38" s="199">
        <f t="shared" si="10"/>
        <v>-171056</v>
      </c>
      <c r="K38" s="199">
        <f t="shared" si="10"/>
        <v>15057</v>
      </c>
      <c r="L38" s="199">
        <f t="shared" si="10"/>
        <v>-89522</v>
      </c>
      <c r="M38" s="199">
        <f>+M26-M36</f>
        <v>2880</v>
      </c>
      <c r="N38" s="199">
        <f t="shared" si="10"/>
        <v>980156</v>
      </c>
      <c r="O38" s="199">
        <f t="shared" si="10"/>
        <v>44203</v>
      </c>
      <c r="P38" s="199">
        <f>+P26-P36</f>
        <v>47609</v>
      </c>
      <c r="Q38" s="199">
        <f>+Q26-Q36</f>
        <v>157319</v>
      </c>
      <c r="R38" s="199">
        <f t="shared" si="10"/>
        <v>53857</v>
      </c>
      <c r="S38" s="199">
        <f>+S26-S36</f>
        <v>50102</v>
      </c>
      <c r="T38" s="199">
        <f t="shared" si="10"/>
        <v>40349</v>
      </c>
      <c r="U38" s="199">
        <f t="shared" si="10"/>
        <v>7602</v>
      </c>
      <c r="V38" s="199">
        <f t="shared" si="10"/>
        <v>17692</v>
      </c>
      <c r="W38" s="199">
        <f t="shared" si="10"/>
        <v>180588</v>
      </c>
      <c r="X38" s="199">
        <f>+X26-X36</f>
        <v>62896</v>
      </c>
      <c r="Y38" s="199">
        <f t="shared" si="10"/>
        <v>11922</v>
      </c>
      <c r="Z38" s="199">
        <f>+Z26-Z36</f>
        <v>73256</v>
      </c>
      <c r="AA38" s="199">
        <f t="shared" si="10"/>
        <v>-68005</v>
      </c>
      <c r="AB38" s="199">
        <f aca="true" t="shared" si="11" ref="AB38:AJ38">+AB26-AB36</f>
        <v>-1679</v>
      </c>
      <c r="AC38" s="199">
        <f t="shared" si="11"/>
        <v>-44850</v>
      </c>
      <c r="AD38" s="199">
        <f>+AD26-AD36</f>
        <v>-2251</v>
      </c>
      <c r="AE38" s="199">
        <f t="shared" si="11"/>
        <v>-40360</v>
      </c>
      <c r="AF38" s="199">
        <f t="shared" si="11"/>
        <v>29547</v>
      </c>
      <c r="AG38" s="199">
        <f t="shared" si="11"/>
        <v>-102358</v>
      </c>
      <c r="AH38" s="199">
        <f t="shared" si="11"/>
        <v>5008</v>
      </c>
      <c r="AI38" s="199">
        <f t="shared" si="11"/>
        <v>-4898</v>
      </c>
      <c r="AJ38" s="199">
        <f t="shared" si="11"/>
        <v>-6737</v>
      </c>
      <c r="AK38" s="199">
        <f t="shared" si="10"/>
        <v>-63</v>
      </c>
      <c r="AL38" s="199">
        <f t="shared" si="10"/>
        <v>7923</v>
      </c>
      <c r="AM38" s="199">
        <f t="shared" si="10"/>
        <v>2743</v>
      </c>
      <c r="AN38" s="199"/>
      <c r="AO38" s="199">
        <f>+AO26-AO36</f>
        <v>26420222</v>
      </c>
      <c r="AP38" s="164"/>
      <c r="AQ38" s="164"/>
      <c r="AR38" s="185"/>
    </row>
    <row r="39" spans="1:44" ht="12.75" customHeight="1">
      <c r="A39" s="176"/>
      <c r="B39" s="176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O39" s="164"/>
      <c r="AP39" s="164"/>
      <c r="AQ39" s="164"/>
      <c r="AR39" s="185"/>
    </row>
    <row r="40" spans="1:44" ht="12.75" customHeight="1">
      <c r="A40" s="176" t="s">
        <v>152</v>
      </c>
      <c r="B40" s="176"/>
      <c r="C40" s="179">
        <v>1242168</v>
      </c>
      <c r="D40" s="179">
        <v>1566054</v>
      </c>
      <c r="E40" s="179">
        <v>1178193</v>
      </c>
      <c r="F40" s="179">
        <v>345411</v>
      </c>
      <c r="G40" s="179">
        <v>591368</v>
      </c>
      <c r="H40" s="179">
        <v>655154</v>
      </c>
      <c r="I40" s="179">
        <v>757261</v>
      </c>
      <c r="J40" s="179">
        <v>1003209</v>
      </c>
      <c r="K40" s="179">
        <v>381914</v>
      </c>
      <c r="L40" s="179">
        <v>173713</v>
      </c>
      <c r="M40" s="179">
        <v>192909</v>
      </c>
      <c r="N40" s="179">
        <v>251475</v>
      </c>
      <c r="O40" s="179">
        <v>81286</v>
      </c>
      <c r="P40" s="179">
        <v>28345</v>
      </c>
      <c r="Q40" s="179">
        <v>191641</v>
      </c>
      <c r="R40" s="179">
        <v>60100</v>
      </c>
      <c r="S40" s="179">
        <v>80418</v>
      </c>
      <c r="T40" s="179">
        <v>0</v>
      </c>
      <c r="U40" s="179">
        <v>30000</v>
      </c>
      <c r="V40" s="179">
        <v>15927</v>
      </c>
      <c r="W40" s="179">
        <v>32968</v>
      </c>
      <c r="X40" s="179">
        <v>9036</v>
      </c>
      <c r="Y40" s="179">
        <v>21049</v>
      </c>
      <c r="Z40" s="179">
        <v>1072</v>
      </c>
      <c r="AA40" s="179">
        <v>423392</v>
      </c>
      <c r="AB40" s="179">
        <v>4991</v>
      </c>
      <c r="AC40" s="179">
        <v>72125</v>
      </c>
      <c r="AD40" s="179">
        <v>15279</v>
      </c>
      <c r="AE40" s="179">
        <v>70542</v>
      </c>
      <c r="AF40" s="179">
        <v>2622</v>
      </c>
      <c r="AG40" s="179">
        <v>102371</v>
      </c>
      <c r="AH40" s="179">
        <v>14385</v>
      </c>
      <c r="AI40" s="179">
        <v>48761</v>
      </c>
      <c r="AJ40" s="179">
        <v>11697</v>
      </c>
      <c r="AK40" s="179">
        <v>151</v>
      </c>
      <c r="AL40" s="179">
        <v>61880</v>
      </c>
      <c r="AM40" s="179">
        <v>13944</v>
      </c>
      <c r="AN40" s="164"/>
      <c r="AO40" s="164">
        <f>SUM(C40:AM40)</f>
        <v>9732811</v>
      </c>
      <c r="AP40" s="164"/>
      <c r="AQ40" s="164"/>
      <c r="AR40" s="185"/>
    </row>
    <row r="41" spans="1:44" ht="12.75" customHeight="1">
      <c r="A41" s="174"/>
      <c r="B41" s="174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64"/>
      <c r="AO41" s="164"/>
      <c r="AP41" s="164"/>
      <c r="AQ41" s="164"/>
      <c r="AR41" s="185"/>
    </row>
    <row r="42" spans="1:44" ht="12.75" customHeight="1">
      <c r="A42" s="176" t="s">
        <v>153</v>
      </c>
      <c r="B42" s="176"/>
      <c r="C42" s="198">
        <f>+C38+C40</f>
        <v>11889240</v>
      </c>
      <c r="D42" s="198">
        <f aca="true" t="shared" si="12" ref="D42:AM42">+D38+D40</f>
        <v>5957654</v>
      </c>
      <c r="E42" s="198">
        <f t="shared" si="12"/>
        <v>9004353</v>
      </c>
      <c r="F42" s="198">
        <f t="shared" si="12"/>
        <v>1293592</v>
      </c>
      <c r="G42" s="198">
        <f t="shared" si="12"/>
        <v>747026</v>
      </c>
      <c r="H42" s="198">
        <f>+H38+H40</f>
        <v>343422</v>
      </c>
      <c r="I42" s="198">
        <f t="shared" si="12"/>
        <v>2261614</v>
      </c>
      <c r="J42" s="198">
        <f t="shared" si="12"/>
        <v>832153</v>
      </c>
      <c r="K42" s="198">
        <f t="shared" si="12"/>
        <v>396971</v>
      </c>
      <c r="L42" s="198">
        <f t="shared" si="12"/>
        <v>84191</v>
      </c>
      <c r="M42" s="198">
        <f>+M38+M40</f>
        <v>195789</v>
      </c>
      <c r="N42" s="198">
        <f t="shared" si="12"/>
        <v>1231631</v>
      </c>
      <c r="O42" s="198">
        <f t="shared" si="12"/>
        <v>125489</v>
      </c>
      <c r="P42" s="198">
        <f>+P38+P40</f>
        <v>75954</v>
      </c>
      <c r="Q42" s="198">
        <f>+Q38+Q40</f>
        <v>348960</v>
      </c>
      <c r="R42" s="198">
        <f t="shared" si="12"/>
        <v>113957</v>
      </c>
      <c r="S42" s="198">
        <f>+S38+S40</f>
        <v>130520</v>
      </c>
      <c r="T42" s="198">
        <f t="shared" si="12"/>
        <v>40349</v>
      </c>
      <c r="U42" s="198">
        <f t="shared" si="12"/>
        <v>37602</v>
      </c>
      <c r="V42" s="198">
        <f t="shared" si="12"/>
        <v>33619</v>
      </c>
      <c r="W42" s="198">
        <f t="shared" si="12"/>
        <v>213556</v>
      </c>
      <c r="X42" s="198">
        <f>+X38+X40</f>
        <v>71932</v>
      </c>
      <c r="Y42" s="198">
        <f t="shared" si="12"/>
        <v>32971</v>
      </c>
      <c r="Z42" s="198">
        <f>+Z38+Z40</f>
        <v>74328</v>
      </c>
      <c r="AA42" s="198">
        <f t="shared" si="12"/>
        <v>355387</v>
      </c>
      <c r="AB42" s="198">
        <f aca="true" t="shared" si="13" ref="AB42:AJ42">+AB38+AB40</f>
        <v>3312</v>
      </c>
      <c r="AC42" s="198">
        <f t="shared" si="13"/>
        <v>27275</v>
      </c>
      <c r="AD42" s="198">
        <f>+AD38+AD40</f>
        <v>13028</v>
      </c>
      <c r="AE42" s="198">
        <f t="shared" si="13"/>
        <v>30182</v>
      </c>
      <c r="AF42" s="198">
        <f t="shared" si="13"/>
        <v>32169</v>
      </c>
      <c r="AG42" s="198">
        <f t="shared" si="13"/>
        <v>13</v>
      </c>
      <c r="AH42" s="198">
        <f t="shared" si="13"/>
        <v>19393</v>
      </c>
      <c r="AI42" s="198">
        <f t="shared" si="13"/>
        <v>43863</v>
      </c>
      <c r="AJ42" s="198">
        <f t="shared" si="13"/>
        <v>4960</v>
      </c>
      <c r="AK42" s="198">
        <f t="shared" si="12"/>
        <v>88</v>
      </c>
      <c r="AL42" s="198">
        <f t="shared" si="12"/>
        <v>69803</v>
      </c>
      <c r="AM42" s="198">
        <f t="shared" si="12"/>
        <v>16687</v>
      </c>
      <c r="AN42" s="198"/>
      <c r="AO42" s="198">
        <f>+AO38+AO40</f>
        <v>36153033</v>
      </c>
      <c r="AP42" s="164"/>
      <c r="AQ42" s="164"/>
      <c r="AR42" s="185"/>
    </row>
    <row r="43" spans="1:44" s="170" customFormat="1" ht="12.75" customHeight="1">
      <c r="A43" s="170" t="s">
        <v>154</v>
      </c>
      <c r="C43" s="185">
        <f>+C42-'3.2 Efnah.'!C36</f>
        <v>0</v>
      </c>
      <c r="D43" s="185">
        <f>+D42-'3.2 Efnah.'!D36</f>
        <v>0</v>
      </c>
      <c r="E43" s="185">
        <f>+E42-'3.2 Efnah.'!E36</f>
        <v>0</v>
      </c>
      <c r="F43" s="185">
        <f>+F42-'3.2 Efnah.'!F36</f>
        <v>0</v>
      </c>
      <c r="G43" s="185">
        <f>+G42-'3.2 Efnah.'!G36</f>
        <v>-4</v>
      </c>
      <c r="H43" s="185">
        <f>+H42-'3.2 Efnah.'!H36</f>
        <v>-2</v>
      </c>
      <c r="I43" s="185">
        <f>+I42-'3.2 Efnah.'!I36</f>
        <v>2</v>
      </c>
      <c r="J43" s="185">
        <f>+J42-'3.2 Efnah.'!J36</f>
        <v>0</v>
      </c>
      <c r="K43" s="185">
        <f>+K42-'3.2 Efnah.'!K36</f>
        <v>0</v>
      </c>
      <c r="L43" s="185">
        <f>+L42-'3.2 Efnah.'!L36</f>
        <v>0</v>
      </c>
      <c r="M43" s="185">
        <f>+M42-'3.2 Efnah.'!M36</f>
        <v>-1</v>
      </c>
      <c r="N43" s="185">
        <f>+N42-'3.2 Efnah.'!N36</f>
        <v>1</v>
      </c>
      <c r="O43" s="185">
        <f>+O42-'3.2 Efnah.'!O36</f>
        <v>0</v>
      </c>
      <c r="P43" s="185">
        <f>+P42-'3.2 Efnah.'!P36</f>
        <v>2</v>
      </c>
      <c r="Q43" s="185">
        <f>+Q42-'3.2 Efnah.'!Q36</f>
        <v>1</v>
      </c>
      <c r="R43" s="185">
        <f>+R42-'3.2 Efnah.'!R36</f>
        <v>0</v>
      </c>
      <c r="S43" s="185">
        <f>+S42-'3.2 Efnah.'!S36</f>
        <v>1</v>
      </c>
      <c r="T43" s="185">
        <f>+T42-'3.2 Efnah.'!T36</f>
        <v>0</v>
      </c>
      <c r="U43" s="185">
        <f>+U42-'3.2 Efnah.'!U36</f>
        <v>0</v>
      </c>
      <c r="V43" s="185">
        <f>+V42-'3.2 Efnah.'!V36</f>
        <v>0</v>
      </c>
      <c r="W43" s="185">
        <f>+W42-'3.2 Efnah.'!W36</f>
        <v>0</v>
      </c>
      <c r="X43" s="185">
        <f>+X42-'3.2 Efnah.'!X36</f>
        <v>0</v>
      </c>
      <c r="Y43" s="185">
        <f>+Y42-'3.2 Efnah.'!Y36</f>
        <v>1</v>
      </c>
      <c r="Z43" s="185">
        <f>+Z42-'3.2 Efnah.'!Z36</f>
        <v>0</v>
      </c>
      <c r="AA43" s="185">
        <f>+AA42-'3.2 Efnah.'!AA36</f>
        <v>0</v>
      </c>
      <c r="AB43" s="185">
        <f>+AB42-'3.2 Efnah.'!AB36</f>
        <v>0</v>
      </c>
      <c r="AC43" s="185">
        <f>+AC42-'3.2 Efnah.'!AC36</f>
        <v>-1</v>
      </c>
      <c r="AD43" s="185">
        <f>+AD42-'3.2 Efnah.'!AD36</f>
        <v>1</v>
      </c>
      <c r="AE43" s="185">
        <f>+AE42-'3.2 Efnah.'!AE36</f>
        <v>0</v>
      </c>
      <c r="AF43" s="185">
        <f>+AF42-'3.2 Efnah.'!AF36</f>
        <v>0</v>
      </c>
      <c r="AG43" s="185">
        <f>+AG42-'3.2 Efnah.'!AG36</f>
        <v>0</v>
      </c>
      <c r="AH43" s="185">
        <f>+AH42-'3.2 Efnah.'!AH36</f>
        <v>0</v>
      </c>
      <c r="AI43" s="185">
        <f>+AI42-'3.2 Efnah.'!AI36</f>
        <v>0</v>
      </c>
      <c r="AJ43" s="185">
        <f>+AJ42-'3.2 Efnah.'!AJ36</f>
        <v>0</v>
      </c>
      <c r="AK43" s="185">
        <f>+AK42-'3.2 Efnah.'!AK36</f>
        <v>0</v>
      </c>
      <c r="AL43" s="185">
        <f>+AL42-'3.2 Efnah.'!AL36</f>
        <v>0</v>
      </c>
      <c r="AM43" s="185">
        <f>+AM42-'3.2 Efnah.'!AM36</f>
        <v>0</v>
      </c>
      <c r="AN43" s="185"/>
      <c r="AO43" s="185">
        <f>+AO42-'3.2 Efnah.'!AO36</f>
        <v>1</v>
      </c>
      <c r="AP43" s="194"/>
      <c r="AQ43" s="194"/>
      <c r="AR43" s="194"/>
    </row>
    <row r="44" spans="3:41" ht="12.75" customHeight="1"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O44" s="164"/>
    </row>
    <row r="45" spans="3:41" ht="12.75" customHeight="1"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94"/>
      <c r="AO45" s="194"/>
    </row>
    <row r="46" spans="3:39" ht="12.75" customHeight="1"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</row>
    <row r="47" spans="3:43" ht="12.75" customHeight="1"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P47" s="164"/>
      <c r="AQ47" s="164"/>
    </row>
    <row r="48" spans="3:43" ht="12.75" customHeight="1"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P48" s="164"/>
      <c r="AQ48" s="164"/>
    </row>
    <row r="49" spans="3:43" ht="12.75" customHeight="1"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O49" s="164"/>
      <c r="AP49" s="164"/>
      <c r="AQ49" s="164"/>
    </row>
    <row r="50" spans="3:43" ht="12.75" customHeight="1"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O50" s="164"/>
      <c r="AP50" s="164"/>
      <c r="AQ50" s="164"/>
    </row>
    <row r="51" spans="3:43" ht="12.75" customHeight="1"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O51" s="164"/>
      <c r="AP51" s="164"/>
      <c r="AQ51" s="164"/>
    </row>
    <row r="52" spans="7:43" ht="12.75" customHeight="1">
      <c r="G52" s="185"/>
      <c r="AL52" s="164"/>
      <c r="AO52" s="164"/>
      <c r="AP52" s="164"/>
      <c r="AQ52" s="164"/>
    </row>
    <row r="53" spans="3:43" ht="12.75" customHeight="1"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O53" s="164"/>
      <c r="AP53" s="164"/>
      <c r="AQ53" s="164"/>
    </row>
    <row r="54" spans="7:43" ht="12.75" customHeight="1">
      <c r="G54" s="185"/>
      <c r="AL54" s="164"/>
      <c r="AO54" s="164"/>
      <c r="AP54" s="164"/>
      <c r="AQ54" s="164"/>
    </row>
    <row r="55" spans="3:43" ht="12.75" customHeight="1">
      <c r="C55" s="164"/>
      <c r="D55" s="164"/>
      <c r="E55" s="164"/>
      <c r="F55" s="164"/>
      <c r="G55" s="185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O55" s="164"/>
      <c r="AP55" s="164"/>
      <c r="AQ55" s="164"/>
    </row>
    <row r="56" spans="38:43" ht="12.75" customHeight="1">
      <c r="AL56" s="164"/>
      <c r="AO56" s="164"/>
      <c r="AP56" s="164"/>
      <c r="AQ56" s="164"/>
    </row>
    <row r="57" spans="3:43" ht="12.75" customHeight="1"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O57" s="164"/>
      <c r="AP57" s="164"/>
      <c r="AQ57" s="164"/>
    </row>
    <row r="58" spans="38:43" ht="12.75" customHeight="1">
      <c r="AL58" s="164"/>
      <c r="AO58" s="164"/>
      <c r="AP58" s="164"/>
      <c r="AQ58" s="164"/>
    </row>
    <row r="59" spans="3:43" ht="12.75" customHeight="1">
      <c r="C59" s="194">
        <v>0</v>
      </c>
      <c r="D59" s="194">
        <v>0</v>
      </c>
      <c r="E59" s="194">
        <v>0</v>
      </c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94">
        <v>0</v>
      </c>
      <c r="M59" s="194">
        <v>0</v>
      </c>
      <c r="N59" s="194" t="e">
        <v>#REF!</v>
      </c>
      <c r="O59" s="194">
        <v>0</v>
      </c>
      <c r="P59" s="194">
        <v>0</v>
      </c>
      <c r="Q59" s="194">
        <v>0</v>
      </c>
      <c r="R59" s="194">
        <v>0</v>
      </c>
      <c r="S59" s="194">
        <v>0</v>
      </c>
      <c r="T59" s="194" t="e">
        <v>#REF!</v>
      </c>
      <c r="U59" s="194">
        <v>0</v>
      </c>
      <c r="V59" s="194">
        <v>0</v>
      </c>
      <c r="W59" s="194">
        <v>0</v>
      </c>
      <c r="X59" s="194" t="e">
        <v>#REF!</v>
      </c>
      <c r="Y59" s="194">
        <v>0</v>
      </c>
      <c r="Z59" s="194">
        <v>0</v>
      </c>
      <c r="AA59" s="194">
        <v>0</v>
      </c>
      <c r="AB59" s="194">
        <v>0</v>
      </c>
      <c r="AC59" s="194">
        <v>0</v>
      </c>
      <c r="AD59" s="194">
        <v>0</v>
      </c>
      <c r="AE59" s="194">
        <v>0</v>
      </c>
      <c r="AF59" s="194">
        <v>0</v>
      </c>
      <c r="AG59" s="194">
        <v>0</v>
      </c>
      <c r="AH59" s="194">
        <v>0</v>
      </c>
      <c r="AI59" s="194">
        <v>0</v>
      </c>
      <c r="AJ59" s="194" t="e">
        <v>#REF!</v>
      </c>
      <c r="AK59" s="194">
        <v>0</v>
      </c>
      <c r="AL59" s="194">
        <v>0</v>
      </c>
      <c r="AM59" s="194">
        <v>0</v>
      </c>
      <c r="AO59" s="164"/>
      <c r="AP59" s="164"/>
      <c r="AQ59" s="164"/>
    </row>
    <row r="60" spans="42:43" ht="12.75" customHeight="1">
      <c r="AP60" s="164"/>
      <c r="AQ60" s="164"/>
    </row>
    <row r="61" spans="41:43" ht="12.75" customHeight="1">
      <c r="AO61" s="164"/>
      <c r="AP61" s="164"/>
      <c r="AQ61" s="164"/>
    </row>
    <row r="62" spans="41:43" ht="12.75" customHeight="1">
      <c r="AO62" s="164"/>
      <c r="AP62" s="164"/>
      <c r="AQ62" s="164"/>
    </row>
    <row r="63" spans="41:43" ht="12.75" customHeight="1">
      <c r="AO63" s="140"/>
      <c r="AP63" s="164"/>
      <c r="AQ63" s="164"/>
    </row>
    <row r="64" spans="41:43" ht="12.75" customHeight="1">
      <c r="AO64" s="164"/>
      <c r="AP64" s="164"/>
      <c r="AQ64" s="164"/>
    </row>
    <row r="65" ht="12.75" customHeight="1">
      <c r="AO65" s="164"/>
    </row>
    <row r="66" ht="12.75" customHeight="1">
      <c r="AO66" s="164"/>
    </row>
  </sheetData>
  <sheetProtection/>
  <mergeCells count="37">
    <mergeCell ref="M1:M3"/>
    <mergeCell ref="V1:V3"/>
    <mergeCell ref="AC1:AC3"/>
    <mergeCell ref="C1:C3"/>
    <mergeCell ref="AB1:AB3"/>
    <mergeCell ref="O1:O3"/>
    <mergeCell ref="D1:D3"/>
    <mergeCell ref="R1:R3"/>
    <mergeCell ref="Z1:Z3"/>
    <mergeCell ref="J1:J3"/>
    <mergeCell ref="U1:U3"/>
    <mergeCell ref="AA1:AA3"/>
    <mergeCell ref="W1:W3"/>
    <mergeCell ref="AD1:AD3"/>
    <mergeCell ref="S1:S3"/>
    <mergeCell ref="X1:X3"/>
    <mergeCell ref="T1:T3"/>
    <mergeCell ref="Y1:Y3"/>
    <mergeCell ref="E1:E3"/>
    <mergeCell ref="P1:P3"/>
    <mergeCell ref="N1:N3"/>
    <mergeCell ref="H1:H3"/>
    <mergeCell ref="Q1:Q3"/>
    <mergeCell ref="K1:K3"/>
    <mergeCell ref="L1:L3"/>
    <mergeCell ref="I1:I3"/>
    <mergeCell ref="G1:G3"/>
    <mergeCell ref="F1:F3"/>
    <mergeCell ref="AM1:AM3"/>
    <mergeCell ref="AE1:AE3"/>
    <mergeCell ref="AG1:AG3"/>
    <mergeCell ref="AJ1:AJ3"/>
    <mergeCell ref="AF1:AF3"/>
    <mergeCell ref="AK1:AK3"/>
    <mergeCell ref="AH1:AH3"/>
    <mergeCell ref="AL1:AL3"/>
  </mergeCells>
  <printOptions/>
  <pageMargins left="0.4724409448818898" right="0.31496062992125984" top="1.1811023622047245" bottom="0.4724409448818898" header="0.5118110236220472" footer="0.5118110236220472"/>
  <pageSetup firstPageNumber="22" useFirstPageNumber="1" horizontalDpi="600" verticalDpi="600" orientation="portrait" paperSize="9" r:id="rId1"/>
  <headerFooter alignWithMargins="0">
    <oddHeader>&amp;C&amp;"Times New Roman,Bold"&amp;12 3.3. SJÓÐSTREYMI ÁRIÐ 2007</oddHeader>
    <oddFooter>&amp;R&amp;"Times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X279"/>
  <sheetViews>
    <sheetView tabSelected="1" zoomScaleSheetLayoutView="100" workbookViewId="0" topLeftCell="A1">
      <selection activeCell="A99" sqref="A99"/>
    </sheetView>
  </sheetViews>
  <sheetFormatPr defaultColWidth="8.8515625" defaultRowHeight="11.25" customHeight="1" outlineLevelRow="1"/>
  <cols>
    <col min="1" max="1" width="24.421875" style="25" customWidth="1"/>
    <col min="2" max="2" width="0.71875" style="25" customWidth="1"/>
    <col min="3" max="4" width="9.28125" style="25" customWidth="1"/>
    <col min="5" max="6" width="10.28125" style="25" customWidth="1"/>
    <col min="7" max="15" width="9.28125" style="25" customWidth="1"/>
    <col min="16" max="16" width="9.7109375" style="25" customWidth="1"/>
    <col min="17" max="17" width="9.8515625" style="25" customWidth="1"/>
    <col min="18" max="19" width="9.28125" style="25" customWidth="1"/>
    <col min="20" max="20" width="9.7109375" style="25" customWidth="1"/>
    <col min="21" max="23" width="9.28125" style="25" customWidth="1"/>
    <col min="24" max="25" width="9.7109375" style="25" customWidth="1"/>
    <col min="26" max="26" width="9.8515625" style="25" customWidth="1"/>
    <col min="27" max="27" width="9.57421875" style="25" customWidth="1"/>
    <col min="28" max="28" width="9.28125" style="25" customWidth="1"/>
    <col min="29" max="29" width="9.421875" style="25" customWidth="1"/>
    <col min="30" max="31" width="9.28125" style="25" customWidth="1"/>
    <col min="32" max="32" width="9.421875" style="25" customWidth="1"/>
    <col min="33" max="33" width="9.7109375" style="25" customWidth="1"/>
    <col min="34" max="34" width="9.421875" style="25" customWidth="1"/>
    <col min="35" max="36" width="9.7109375" style="25" customWidth="1"/>
    <col min="37" max="37" width="9.28125" style="25" customWidth="1"/>
    <col min="38" max="38" width="9.7109375" style="25" customWidth="1"/>
    <col min="39" max="39" width="9.28125" style="25" customWidth="1"/>
    <col min="40" max="40" width="9.7109375" style="25" customWidth="1"/>
    <col min="41" max="41" width="9.28125" style="25" customWidth="1"/>
    <col min="42" max="42" width="9.57421875" style="25" customWidth="1"/>
    <col min="43" max="43" width="10.140625" style="25" customWidth="1"/>
    <col min="44" max="44" width="9.421875" style="25" customWidth="1"/>
    <col min="45" max="45" width="9.28125" style="25" customWidth="1"/>
    <col min="46" max="46" width="5.7109375" style="25" customWidth="1"/>
    <col min="47" max="47" width="10.7109375" style="25" customWidth="1"/>
    <col min="48" max="48" width="2.28125" style="25" customWidth="1"/>
    <col min="49" max="49" width="9.421875" style="25" customWidth="1"/>
    <col min="50" max="50" width="11.140625" style="25" customWidth="1"/>
    <col min="51" max="16384" width="8.8515625" style="25" customWidth="1"/>
  </cols>
  <sheetData>
    <row r="1" spans="2:48" s="200" customFormat="1" ht="10.5" customHeight="1">
      <c r="B1" s="195"/>
      <c r="C1" s="480" t="s">
        <v>167</v>
      </c>
      <c r="D1" s="480"/>
      <c r="E1" s="477" t="s">
        <v>170</v>
      </c>
      <c r="F1" s="477" t="s">
        <v>25</v>
      </c>
      <c r="G1" s="477" t="s">
        <v>0</v>
      </c>
      <c r="H1" s="477"/>
      <c r="I1" s="480" t="s">
        <v>23</v>
      </c>
      <c r="J1" s="480"/>
      <c r="K1" s="480"/>
      <c r="L1" s="477" t="s">
        <v>547</v>
      </c>
      <c r="M1" s="477" t="s">
        <v>31</v>
      </c>
      <c r="N1" s="477" t="s">
        <v>1</v>
      </c>
      <c r="O1" s="477" t="s">
        <v>2</v>
      </c>
      <c r="P1" s="477" t="s">
        <v>24</v>
      </c>
      <c r="Q1" s="477" t="s">
        <v>166</v>
      </c>
      <c r="R1" s="480" t="s">
        <v>3</v>
      </c>
      <c r="S1" s="480"/>
      <c r="T1" s="477" t="s">
        <v>29</v>
      </c>
      <c r="U1" s="477" t="s">
        <v>370</v>
      </c>
      <c r="V1" s="480" t="s">
        <v>229</v>
      </c>
      <c r="W1" s="480"/>
      <c r="X1" s="477" t="s">
        <v>30</v>
      </c>
      <c r="Y1" s="477" t="s">
        <v>230</v>
      </c>
      <c r="Z1" s="477" t="s">
        <v>161</v>
      </c>
      <c r="AA1" s="477" t="s">
        <v>27</v>
      </c>
      <c r="AB1" s="477" t="s">
        <v>157</v>
      </c>
      <c r="AC1" s="477" t="s">
        <v>164</v>
      </c>
      <c r="AD1" s="477" t="s">
        <v>539</v>
      </c>
      <c r="AE1" s="477" t="s">
        <v>222</v>
      </c>
      <c r="AF1" s="477" t="s">
        <v>162</v>
      </c>
      <c r="AG1" s="477" t="s">
        <v>28</v>
      </c>
      <c r="AH1" s="477" t="s">
        <v>169</v>
      </c>
      <c r="AI1" s="477" t="s">
        <v>165</v>
      </c>
      <c r="AJ1" s="477" t="s">
        <v>158</v>
      </c>
      <c r="AK1" s="477" t="s">
        <v>4</v>
      </c>
      <c r="AL1" s="477" t="s">
        <v>160</v>
      </c>
      <c r="AM1" s="477" t="s">
        <v>5</v>
      </c>
      <c r="AN1" s="477" t="s">
        <v>163</v>
      </c>
      <c r="AO1" s="477" t="s">
        <v>6</v>
      </c>
      <c r="AP1" s="477" t="s">
        <v>226</v>
      </c>
      <c r="AQ1" s="477" t="s">
        <v>573</v>
      </c>
      <c r="AR1" s="477" t="s">
        <v>168</v>
      </c>
      <c r="AS1" s="477" t="s">
        <v>159</v>
      </c>
      <c r="AT1" s="195"/>
      <c r="AV1" s="171"/>
    </row>
    <row r="2" spans="1:50" s="200" customFormat="1" ht="11.25" customHeight="1">
      <c r="A2" s="195"/>
      <c r="B2" s="195"/>
      <c r="C2" s="171"/>
      <c r="D2" s="171"/>
      <c r="E2" s="477"/>
      <c r="F2" s="477"/>
      <c r="G2" s="201"/>
      <c r="H2" s="201"/>
      <c r="I2" s="171"/>
      <c r="J2" s="171"/>
      <c r="K2" s="171"/>
      <c r="L2" s="477"/>
      <c r="M2" s="477"/>
      <c r="N2" s="477"/>
      <c r="O2" s="477"/>
      <c r="P2" s="477"/>
      <c r="Q2" s="477"/>
      <c r="R2" s="171"/>
      <c r="S2" s="171"/>
      <c r="T2" s="477"/>
      <c r="U2" s="477"/>
      <c r="V2" s="171"/>
      <c r="W2" s="171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195"/>
      <c r="AU2" s="171" t="s">
        <v>9</v>
      </c>
      <c r="AV2" s="171"/>
      <c r="AW2" s="171" t="s">
        <v>7</v>
      </c>
      <c r="AX2" s="171" t="s">
        <v>7</v>
      </c>
    </row>
    <row r="3" spans="2:50" s="200" customFormat="1" ht="10.5" customHeight="1">
      <c r="B3" s="195"/>
      <c r="E3" s="477" t="s">
        <v>35</v>
      </c>
      <c r="F3" s="477" t="s">
        <v>35</v>
      </c>
      <c r="L3" s="477" t="s">
        <v>36</v>
      </c>
      <c r="M3" s="477" t="s">
        <v>35</v>
      </c>
      <c r="N3" s="477" t="s">
        <v>35</v>
      </c>
      <c r="O3" s="477" t="s">
        <v>35</v>
      </c>
      <c r="P3" s="477"/>
      <c r="Q3" s="477" t="s">
        <v>35</v>
      </c>
      <c r="T3" s="477" t="s">
        <v>35</v>
      </c>
      <c r="U3" s="477" t="s">
        <v>35</v>
      </c>
      <c r="X3" s="477" t="s">
        <v>35</v>
      </c>
      <c r="Y3" s="477" t="s">
        <v>35</v>
      </c>
      <c r="Z3" s="477" t="s">
        <v>35</v>
      </c>
      <c r="AA3" s="477" t="s">
        <v>35</v>
      </c>
      <c r="AB3" s="477"/>
      <c r="AC3" s="477" t="s">
        <v>35</v>
      </c>
      <c r="AD3" s="477" t="s">
        <v>35</v>
      </c>
      <c r="AE3" s="477"/>
      <c r="AF3" s="477" t="s">
        <v>35</v>
      </c>
      <c r="AG3" s="477" t="s">
        <v>35</v>
      </c>
      <c r="AH3" s="477" t="s">
        <v>35</v>
      </c>
      <c r="AI3" s="477" t="s">
        <v>35</v>
      </c>
      <c r="AJ3" s="477"/>
      <c r="AK3" s="477"/>
      <c r="AL3" s="477" t="s">
        <v>35</v>
      </c>
      <c r="AM3" s="477"/>
      <c r="AN3" s="477" t="s">
        <v>35</v>
      </c>
      <c r="AO3" s="477" t="s">
        <v>35</v>
      </c>
      <c r="AP3" s="477" t="s">
        <v>35</v>
      </c>
      <c r="AQ3" s="477" t="s">
        <v>35</v>
      </c>
      <c r="AR3" s="477" t="s">
        <v>18</v>
      </c>
      <c r="AS3" s="477"/>
      <c r="AT3" s="195"/>
      <c r="AU3" s="171" t="s">
        <v>12</v>
      </c>
      <c r="AV3" s="171"/>
      <c r="AW3" s="171" t="s">
        <v>10</v>
      </c>
      <c r="AX3" s="171" t="s">
        <v>11</v>
      </c>
    </row>
    <row r="4" spans="1:46" s="200" customFormat="1" ht="10.5" customHeight="1">
      <c r="A4" s="195" t="s">
        <v>8</v>
      </c>
      <c r="B4" s="195"/>
      <c r="C4" s="481" t="s">
        <v>481</v>
      </c>
      <c r="D4" s="481"/>
      <c r="E4" s="202" t="s">
        <v>511</v>
      </c>
      <c r="F4" s="202" t="s">
        <v>491</v>
      </c>
      <c r="G4" s="481" t="s">
        <v>515</v>
      </c>
      <c r="H4" s="481"/>
      <c r="I4" s="195"/>
      <c r="J4" s="202" t="s">
        <v>482</v>
      </c>
      <c r="K4" s="195"/>
      <c r="L4" s="202" t="s">
        <v>517</v>
      </c>
      <c r="M4" s="202" t="s">
        <v>490</v>
      </c>
      <c r="N4" s="202" t="s">
        <v>501</v>
      </c>
      <c r="O4" s="202" t="s">
        <v>516</v>
      </c>
      <c r="P4" s="202" t="s">
        <v>489</v>
      </c>
      <c r="Q4" s="202" t="s">
        <v>496</v>
      </c>
      <c r="R4" s="481" t="s">
        <v>494</v>
      </c>
      <c r="S4" s="481"/>
      <c r="T4" s="202" t="s">
        <v>510</v>
      </c>
      <c r="U4" s="202" t="s">
        <v>512</v>
      </c>
      <c r="V4" s="481" t="s">
        <v>508</v>
      </c>
      <c r="W4" s="481"/>
      <c r="X4" s="202" t="s">
        <v>492</v>
      </c>
      <c r="Y4" s="202" t="s">
        <v>499</v>
      </c>
      <c r="Z4" s="202" t="s">
        <v>513</v>
      </c>
      <c r="AA4" s="202" t="s">
        <v>495</v>
      </c>
      <c r="AB4" s="202" t="s">
        <v>483</v>
      </c>
      <c r="AC4" s="202" t="s">
        <v>507</v>
      </c>
      <c r="AD4" s="202" t="s">
        <v>505</v>
      </c>
      <c r="AE4" s="202" t="s">
        <v>486</v>
      </c>
      <c r="AF4" s="202" t="s">
        <v>502</v>
      </c>
      <c r="AG4" s="202" t="s">
        <v>497</v>
      </c>
      <c r="AH4" s="202" t="s">
        <v>498</v>
      </c>
      <c r="AI4" s="202" t="s">
        <v>509</v>
      </c>
      <c r="AJ4" s="202" t="s">
        <v>506</v>
      </c>
      <c r="AK4" s="202" t="s">
        <v>504</v>
      </c>
      <c r="AL4" s="202" t="s">
        <v>487</v>
      </c>
      <c r="AM4" s="202" t="s">
        <v>500</v>
      </c>
      <c r="AN4" s="202" t="s">
        <v>493</v>
      </c>
      <c r="AO4" s="202" t="s">
        <v>484</v>
      </c>
      <c r="AP4" s="202" t="s">
        <v>488</v>
      </c>
      <c r="AQ4" s="202" t="s">
        <v>485</v>
      </c>
      <c r="AR4" s="202" t="s">
        <v>503</v>
      </c>
      <c r="AS4" s="202" t="s">
        <v>514</v>
      </c>
      <c r="AT4" s="195"/>
    </row>
    <row r="5" spans="1:50" s="200" customFormat="1" ht="10.5" customHeight="1">
      <c r="A5" s="195"/>
      <c r="B5" s="195"/>
      <c r="C5" s="195" t="s">
        <v>15</v>
      </c>
      <c r="D5" s="195" t="s">
        <v>14</v>
      </c>
      <c r="E5" s="173"/>
      <c r="F5" s="173"/>
      <c r="G5" s="203" t="s">
        <v>171</v>
      </c>
      <c r="H5" s="203" t="s">
        <v>16</v>
      </c>
      <c r="I5" s="195" t="s">
        <v>32</v>
      </c>
      <c r="J5" s="195" t="s">
        <v>33</v>
      </c>
      <c r="K5" s="195" t="s">
        <v>34</v>
      </c>
      <c r="L5" s="173"/>
      <c r="M5" s="173"/>
      <c r="N5" s="173"/>
      <c r="O5" s="173"/>
      <c r="P5" s="173"/>
      <c r="Q5" s="173"/>
      <c r="R5" s="195" t="s">
        <v>37</v>
      </c>
      <c r="S5" s="195" t="s">
        <v>16</v>
      </c>
      <c r="T5" s="173"/>
      <c r="U5" s="173"/>
      <c r="V5" s="195" t="s">
        <v>15</v>
      </c>
      <c r="W5" s="195" t="s">
        <v>17</v>
      </c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95"/>
      <c r="AU5" s="200" t="str">
        <f>CONCATENATE(AU163," deildir")</f>
        <v>43 deildir</v>
      </c>
      <c r="AV5" s="195"/>
      <c r="AW5" s="200" t="str">
        <f>CONCATENATE(AW163," deildir")</f>
        <v>14 deildir</v>
      </c>
      <c r="AX5" s="200" t="str">
        <f>CONCATENATE(AX163," deildir")</f>
        <v>29 deildir</v>
      </c>
    </row>
    <row r="6" spans="1:48" s="178" customFormat="1" ht="13.5" customHeight="1">
      <c r="A6" s="204" t="s">
        <v>38</v>
      </c>
      <c r="B6" s="205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164"/>
      <c r="AV6" s="195"/>
    </row>
    <row r="7" spans="1:46" s="178" customFormat="1" ht="14.25" customHeight="1">
      <c r="A7" s="204" t="s">
        <v>39</v>
      </c>
      <c r="B7" s="205"/>
      <c r="C7" s="207"/>
      <c r="D7" s="208"/>
      <c r="E7" s="208"/>
      <c r="F7" s="208"/>
      <c r="G7" s="207"/>
      <c r="H7" s="208"/>
      <c r="I7" s="207"/>
      <c r="J7" s="207"/>
      <c r="K7" s="208"/>
      <c r="L7" s="208"/>
      <c r="M7" s="208"/>
      <c r="N7" s="208"/>
      <c r="O7" s="208"/>
      <c r="P7" s="208"/>
      <c r="Q7" s="208"/>
      <c r="R7" s="208"/>
      <c r="S7" s="207"/>
      <c r="T7" s="208"/>
      <c r="U7" s="208"/>
      <c r="V7" s="208"/>
      <c r="W7" s="207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164"/>
    </row>
    <row r="8" spans="1:50" s="178" customFormat="1" ht="10.5" customHeight="1" hidden="1" outlineLevel="1">
      <c r="A8" s="176" t="s">
        <v>40</v>
      </c>
      <c r="B8" s="176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</row>
    <row r="9" spans="1:50" s="185" customFormat="1" ht="11.25" customHeight="1" hidden="1" outlineLevel="1">
      <c r="A9" s="185" t="s">
        <v>41</v>
      </c>
      <c r="C9" s="181">
        <v>3137139</v>
      </c>
      <c r="D9" s="181">
        <v>859004</v>
      </c>
      <c r="E9" s="181">
        <v>5119106</v>
      </c>
      <c r="F9" s="181">
        <v>3260894</v>
      </c>
      <c r="G9" s="181">
        <v>894130</v>
      </c>
      <c r="H9" s="181">
        <v>756349</v>
      </c>
      <c r="I9" s="181">
        <v>610485</v>
      </c>
      <c r="J9" s="181">
        <v>0</v>
      </c>
      <c r="K9" s="181">
        <v>332945</v>
      </c>
      <c r="L9" s="181">
        <v>1802874</v>
      </c>
      <c r="M9" s="181">
        <v>1276430</v>
      </c>
      <c r="N9" s="181">
        <v>476504</v>
      </c>
      <c r="O9" s="181">
        <v>903405</v>
      </c>
      <c r="P9" s="181">
        <v>1146909</v>
      </c>
      <c r="Q9" s="181">
        <v>128063</v>
      </c>
      <c r="R9" s="181">
        <v>71934</v>
      </c>
      <c r="S9" s="181">
        <v>540431</v>
      </c>
      <c r="T9" s="181">
        <v>639164</v>
      </c>
      <c r="U9" s="181">
        <v>194617</v>
      </c>
      <c r="V9" s="181">
        <v>1096942</v>
      </c>
      <c r="W9" s="181">
        <v>192128</v>
      </c>
      <c r="X9" s="181">
        <v>262486</v>
      </c>
      <c r="Y9" s="181">
        <v>234786</v>
      </c>
      <c r="Z9" s="181">
        <v>83112</v>
      </c>
      <c r="AA9" s="181">
        <v>157892</v>
      </c>
      <c r="AB9" s="181">
        <v>185954</v>
      </c>
      <c r="AC9" s="181">
        <v>23304</v>
      </c>
      <c r="AD9" s="181">
        <v>0</v>
      </c>
      <c r="AE9" s="181">
        <v>1962</v>
      </c>
      <c r="AF9" s="181">
        <v>21653</v>
      </c>
      <c r="AG9" s="181">
        <v>75013</v>
      </c>
      <c r="AH9" s="181">
        <v>15185</v>
      </c>
      <c r="AI9" s="181">
        <v>20212</v>
      </c>
      <c r="AJ9" s="181">
        <v>23392</v>
      </c>
      <c r="AK9" s="181">
        <v>9747</v>
      </c>
      <c r="AL9" s="181">
        <v>6755</v>
      </c>
      <c r="AM9" s="181">
        <v>0</v>
      </c>
      <c r="AN9" s="181">
        <v>2748</v>
      </c>
      <c r="AO9" s="181">
        <v>0</v>
      </c>
      <c r="AP9" s="181">
        <v>2039</v>
      </c>
      <c r="AQ9" s="181">
        <v>0</v>
      </c>
      <c r="AR9" s="181">
        <v>6197</v>
      </c>
      <c r="AS9" s="181">
        <v>0</v>
      </c>
      <c r="AU9" s="185">
        <f>SUM(C9:AT9)</f>
        <v>24571890</v>
      </c>
      <c r="AW9" s="209">
        <f>SUMIF($C$163:$AS$163,"já",C9:AS9)</f>
        <v>1164884</v>
      </c>
      <c r="AX9" s="209">
        <f>SUMIF($C$163:$AS$163,"nei",C9:AS9)</f>
        <v>23407006</v>
      </c>
    </row>
    <row r="10" spans="1:50" s="185" customFormat="1" ht="11.25" customHeight="1" hidden="1" outlineLevel="1">
      <c r="A10" s="185" t="s">
        <v>42</v>
      </c>
      <c r="C10" s="181">
        <v>8998239</v>
      </c>
      <c r="D10" s="181">
        <v>2030988</v>
      </c>
      <c r="E10" s="181">
        <v>9922284</v>
      </c>
      <c r="F10" s="181">
        <v>6617245</v>
      </c>
      <c r="G10" s="181">
        <v>1965943</v>
      </c>
      <c r="H10" s="181">
        <v>1317471</v>
      </c>
      <c r="I10" s="181">
        <v>1210758</v>
      </c>
      <c r="J10" s="181">
        <v>0</v>
      </c>
      <c r="K10" s="181">
        <v>699262</v>
      </c>
      <c r="L10" s="181">
        <v>3744814</v>
      </c>
      <c r="M10" s="181">
        <v>2552047</v>
      </c>
      <c r="N10" s="181">
        <v>1369616</v>
      </c>
      <c r="O10" s="181">
        <v>1649462</v>
      </c>
      <c r="P10" s="181">
        <v>2354591</v>
      </c>
      <c r="Q10" s="181">
        <v>386979</v>
      </c>
      <c r="R10" s="181">
        <v>265413</v>
      </c>
      <c r="S10" s="181">
        <v>816240</v>
      </c>
      <c r="T10" s="181">
        <v>1131424</v>
      </c>
      <c r="U10" s="181">
        <v>361889</v>
      </c>
      <c r="V10" s="181">
        <v>2358895</v>
      </c>
      <c r="W10" s="181">
        <v>517877</v>
      </c>
      <c r="X10" s="181">
        <v>523600</v>
      </c>
      <c r="Y10" s="181">
        <v>475323</v>
      </c>
      <c r="Z10" s="181">
        <v>197339</v>
      </c>
      <c r="AA10" s="181">
        <v>308162</v>
      </c>
      <c r="AB10" s="181">
        <v>743224</v>
      </c>
      <c r="AC10" s="181">
        <v>85096</v>
      </c>
      <c r="AD10" s="181">
        <v>0</v>
      </c>
      <c r="AE10" s="181">
        <v>659451</v>
      </c>
      <c r="AF10" s="181">
        <v>3400965</v>
      </c>
      <c r="AG10" s="181">
        <v>154632</v>
      </c>
      <c r="AH10" s="181">
        <v>29599</v>
      </c>
      <c r="AI10" s="181">
        <v>39379</v>
      </c>
      <c r="AJ10" s="181">
        <v>61634</v>
      </c>
      <c r="AK10" s="181">
        <v>19211</v>
      </c>
      <c r="AL10" s="181">
        <v>13509</v>
      </c>
      <c r="AM10" s="181">
        <v>0</v>
      </c>
      <c r="AN10" s="181">
        <v>5816</v>
      </c>
      <c r="AO10" s="181">
        <v>0</v>
      </c>
      <c r="AP10" s="181">
        <v>4078</v>
      </c>
      <c r="AQ10" s="181">
        <v>0</v>
      </c>
      <c r="AR10" s="181">
        <v>9297</v>
      </c>
      <c r="AS10" s="181">
        <v>0</v>
      </c>
      <c r="AU10" s="185">
        <f>SUM(C10:AT10)</f>
        <v>57001752</v>
      </c>
      <c r="AW10" s="209">
        <f>SUMIF($C$163:$AS$163,"já",C10:AS10)</f>
        <v>6828646</v>
      </c>
      <c r="AX10" s="209">
        <f>SUMIF($C$163:$AS$163,"nei",C10:AS10)</f>
        <v>50173106</v>
      </c>
    </row>
    <row r="11" spans="1:50" s="185" customFormat="1" ht="11.25" customHeight="1" hidden="1" outlineLevel="1">
      <c r="A11" s="185" t="s">
        <v>43</v>
      </c>
      <c r="C11" s="181">
        <v>-996</v>
      </c>
      <c r="D11" s="181">
        <v>1418</v>
      </c>
      <c r="E11" s="181">
        <v>0</v>
      </c>
      <c r="F11" s="181">
        <v>39911</v>
      </c>
      <c r="G11" s="181">
        <v>-87372</v>
      </c>
      <c r="H11" s="181">
        <v>81739</v>
      </c>
      <c r="I11" s="181">
        <v>853634</v>
      </c>
      <c r="J11" s="181">
        <v>-1470319</v>
      </c>
      <c r="K11" s="181">
        <v>587508</v>
      </c>
      <c r="L11" s="181">
        <v>-307752</v>
      </c>
      <c r="M11" s="181">
        <v>-33585</v>
      </c>
      <c r="N11" s="181">
        <v>-57284</v>
      </c>
      <c r="O11" s="181">
        <v>-27549</v>
      </c>
      <c r="P11" s="181">
        <v>-17368</v>
      </c>
      <c r="Q11" s="181">
        <v>-3760</v>
      </c>
      <c r="R11" s="181">
        <v>7606</v>
      </c>
      <c r="S11" s="181">
        <v>200</v>
      </c>
      <c r="T11" s="181">
        <v>-1441</v>
      </c>
      <c r="U11" s="181">
        <v>-335</v>
      </c>
      <c r="V11" s="181">
        <v>-28815</v>
      </c>
      <c r="W11" s="181">
        <v>-88627</v>
      </c>
      <c r="X11" s="181">
        <v>-1472</v>
      </c>
      <c r="Y11" s="181">
        <v>-3690</v>
      </c>
      <c r="Z11" s="181">
        <v>-22</v>
      </c>
      <c r="AA11" s="181">
        <v>3173</v>
      </c>
      <c r="AB11" s="181">
        <v>0</v>
      </c>
      <c r="AC11" s="181">
        <v>0</v>
      </c>
      <c r="AD11" s="181">
        <v>-1847</v>
      </c>
      <c r="AE11" s="181">
        <v>-679215</v>
      </c>
      <c r="AF11" s="181">
        <v>-3706</v>
      </c>
      <c r="AG11" s="181">
        <v>-12566</v>
      </c>
      <c r="AH11" s="181">
        <v>0</v>
      </c>
      <c r="AI11" s="181">
        <v>224</v>
      </c>
      <c r="AJ11" s="181">
        <v>0</v>
      </c>
      <c r="AK11" s="181">
        <v>1282839</v>
      </c>
      <c r="AL11" s="181">
        <v>0</v>
      </c>
      <c r="AM11" s="181">
        <v>339</v>
      </c>
      <c r="AN11" s="181">
        <v>0</v>
      </c>
      <c r="AO11" s="181">
        <v>-1</v>
      </c>
      <c r="AP11" s="181">
        <v>0</v>
      </c>
      <c r="AQ11" s="181">
        <v>0</v>
      </c>
      <c r="AR11" s="181">
        <v>31407</v>
      </c>
      <c r="AS11" s="181">
        <v>7</v>
      </c>
      <c r="AU11" s="185">
        <f>SUM(C11:AT11)</f>
        <v>62283</v>
      </c>
      <c r="AW11" s="209">
        <f>SUMIF($C$163:$AS$163,"já",C11:AS11)</f>
        <v>629192</v>
      </c>
      <c r="AX11" s="209">
        <f>SUMIF($C$163:$AS$163,"nei",C11:AS11)</f>
        <v>-566909</v>
      </c>
    </row>
    <row r="12" spans="1:50" s="185" customFormat="1" ht="11.25" customHeight="1" hidden="1" outlineLevel="1">
      <c r="A12" s="185" t="s">
        <v>44</v>
      </c>
      <c r="C12" s="181">
        <v>0</v>
      </c>
      <c r="D12" s="181">
        <v>20342614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-909531</v>
      </c>
      <c r="O12" s="181">
        <v>0</v>
      </c>
      <c r="P12" s="181">
        <v>0</v>
      </c>
      <c r="Q12" s="181">
        <v>24826143</v>
      </c>
      <c r="R12" s="181">
        <v>0</v>
      </c>
      <c r="S12" s="181">
        <v>0</v>
      </c>
      <c r="T12" s="181">
        <v>0</v>
      </c>
      <c r="U12" s="181">
        <v>-700485</v>
      </c>
      <c r="V12" s="181">
        <v>0</v>
      </c>
      <c r="W12" s="181">
        <v>0</v>
      </c>
      <c r="X12" s="181">
        <v>0</v>
      </c>
      <c r="Y12" s="181">
        <v>29319</v>
      </c>
      <c r="Z12" s="181">
        <v>879843</v>
      </c>
      <c r="AA12" s="181">
        <v>0</v>
      </c>
      <c r="AB12" s="181">
        <v>0</v>
      </c>
      <c r="AC12" s="181">
        <v>0</v>
      </c>
      <c r="AD12" s="181">
        <v>144341</v>
      </c>
      <c r="AE12" s="181">
        <v>0</v>
      </c>
      <c r="AF12" s="181">
        <v>0</v>
      </c>
      <c r="AG12" s="181">
        <v>0</v>
      </c>
      <c r="AH12" s="181">
        <v>-78681</v>
      </c>
      <c r="AI12" s="181">
        <v>92468</v>
      </c>
      <c r="AJ12" s="181">
        <v>0</v>
      </c>
      <c r="AK12" s="181">
        <v>0</v>
      </c>
      <c r="AL12" s="181">
        <v>66943</v>
      </c>
      <c r="AM12" s="181">
        <v>0</v>
      </c>
      <c r="AN12" s="181">
        <v>33782</v>
      </c>
      <c r="AO12" s="181">
        <v>0</v>
      </c>
      <c r="AP12" s="181">
        <v>31822</v>
      </c>
      <c r="AQ12" s="181">
        <v>0</v>
      </c>
      <c r="AR12" s="181">
        <v>36110</v>
      </c>
      <c r="AS12" s="181">
        <v>176000</v>
      </c>
      <c r="AT12" s="164"/>
      <c r="AU12" s="164">
        <f>SUM(C12:AT12)</f>
        <v>44970688</v>
      </c>
      <c r="AV12" s="164"/>
      <c r="AW12" s="209">
        <f>SUMIF($C$163:$AS$163,"já",C12:AS12)</f>
        <v>46485725</v>
      </c>
      <c r="AX12" s="209">
        <f>SUMIF($C$163:$AS$163,"nei",C12:AS12)</f>
        <v>-1515037</v>
      </c>
    </row>
    <row r="13" spans="1:50" s="178" customFormat="1" ht="11.25" customHeight="1" collapsed="1">
      <c r="A13" s="176" t="s">
        <v>45</v>
      </c>
      <c r="B13" s="176"/>
      <c r="C13" s="178">
        <f>SUM(C9:C12)</f>
        <v>12134382</v>
      </c>
      <c r="D13" s="178">
        <f aca="true" t="shared" si="0" ref="D13:AS13">SUM(D9:D12)</f>
        <v>23234024</v>
      </c>
      <c r="E13" s="178">
        <f t="shared" si="0"/>
        <v>15041390</v>
      </c>
      <c r="F13" s="178">
        <f t="shared" si="0"/>
        <v>9918050</v>
      </c>
      <c r="G13" s="178">
        <f t="shared" si="0"/>
        <v>2772701</v>
      </c>
      <c r="H13" s="178">
        <f t="shared" si="0"/>
        <v>2155559</v>
      </c>
      <c r="I13" s="178">
        <f t="shared" si="0"/>
        <v>2674877</v>
      </c>
      <c r="J13" s="178">
        <f t="shared" si="0"/>
        <v>-1470319</v>
      </c>
      <c r="K13" s="178">
        <f t="shared" si="0"/>
        <v>1619715</v>
      </c>
      <c r="L13" s="178">
        <f>SUM(L9:L12)</f>
        <v>5239936</v>
      </c>
      <c r="M13" s="178">
        <f t="shared" si="0"/>
        <v>3794892</v>
      </c>
      <c r="N13" s="178">
        <f t="shared" si="0"/>
        <v>879305</v>
      </c>
      <c r="O13" s="178">
        <f t="shared" si="0"/>
        <v>2525318</v>
      </c>
      <c r="P13" s="178">
        <f t="shared" si="0"/>
        <v>3484132</v>
      </c>
      <c r="Q13" s="178">
        <f>SUM(Q9:Q12)</f>
        <v>25337425</v>
      </c>
      <c r="R13" s="178">
        <f t="shared" si="0"/>
        <v>344953</v>
      </c>
      <c r="S13" s="178">
        <f t="shared" si="0"/>
        <v>1356871</v>
      </c>
      <c r="T13" s="178">
        <f t="shared" si="0"/>
        <v>1769147</v>
      </c>
      <c r="U13" s="178">
        <f>SUM(U9:U12)</f>
        <v>-144314</v>
      </c>
      <c r="V13" s="178">
        <f t="shared" si="0"/>
        <v>3427022</v>
      </c>
      <c r="W13" s="178">
        <f t="shared" si="0"/>
        <v>621378</v>
      </c>
      <c r="X13" s="178">
        <f>SUM(X9:X12)</f>
        <v>784614</v>
      </c>
      <c r="Y13" s="178">
        <f>SUM(Y9:Y12)</f>
        <v>735738</v>
      </c>
      <c r="Z13" s="178">
        <f t="shared" si="0"/>
        <v>1160272</v>
      </c>
      <c r="AA13" s="178">
        <f t="shared" si="0"/>
        <v>469227</v>
      </c>
      <c r="AB13" s="178">
        <f t="shared" si="0"/>
        <v>929178</v>
      </c>
      <c r="AC13" s="178">
        <f t="shared" si="0"/>
        <v>108400</v>
      </c>
      <c r="AD13" s="178">
        <f>SUM(AD9:AD12)</f>
        <v>142494</v>
      </c>
      <c r="AE13" s="178">
        <f t="shared" si="0"/>
        <v>-17802</v>
      </c>
      <c r="AF13" s="178">
        <f>SUM(AF9:AF12)</f>
        <v>3418912</v>
      </c>
      <c r="AG13" s="178">
        <f t="shared" si="0"/>
        <v>217079</v>
      </c>
      <c r="AH13" s="178">
        <f aca="true" t="shared" si="1" ref="AH13:AQ13">SUM(AH9:AH12)</f>
        <v>-33897</v>
      </c>
      <c r="AI13" s="178">
        <f t="shared" si="1"/>
        <v>152283</v>
      </c>
      <c r="AJ13" s="178">
        <f>SUM(AJ9:AJ12)</f>
        <v>85026</v>
      </c>
      <c r="AK13" s="178">
        <f t="shared" si="1"/>
        <v>1311797</v>
      </c>
      <c r="AL13" s="178">
        <f t="shared" si="1"/>
        <v>87207</v>
      </c>
      <c r="AM13" s="178">
        <f t="shared" si="1"/>
        <v>339</v>
      </c>
      <c r="AN13" s="178">
        <f t="shared" si="1"/>
        <v>42346</v>
      </c>
      <c r="AO13" s="178">
        <f t="shared" si="1"/>
        <v>-1</v>
      </c>
      <c r="AP13" s="178">
        <f t="shared" si="1"/>
        <v>37939</v>
      </c>
      <c r="AQ13" s="178">
        <f t="shared" si="1"/>
        <v>0</v>
      </c>
      <c r="AR13" s="178">
        <f t="shared" si="0"/>
        <v>83011</v>
      </c>
      <c r="AS13" s="178">
        <f t="shared" si="0"/>
        <v>176007</v>
      </c>
      <c r="AT13" s="167"/>
      <c r="AU13" s="164">
        <f>SUM(AU9:AU12)</f>
        <v>126606613</v>
      </c>
      <c r="AV13" s="164"/>
      <c r="AW13" s="210">
        <f>SUM(AW9:AW12)</f>
        <v>55108447</v>
      </c>
      <c r="AX13" s="210">
        <f>SUM(AX9:AX12)</f>
        <v>71498166</v>
      </c>
    </row>
    <row r="14" spans="1:50" s="178" customFormat="1" ht="11.25" customHeight="1">
      <c r="A14" s="176"/>
      <c r="B14" s="176"/>
      <c r="C14" s="167"/>
      <c r="D14" s="167"/>
      <c r="G14" s="167"/>
      <c r="H14" s="167"/>
      <c r="K14" s="167"/>
      <c r="L14" s="167"/>
      <c r="M14" s="167"/>
      <c r="O14" s="167"/>
      <c r="P14" s="185"/>
      <c r="R14" s="167"/>
      <c r="T14" s="167"/>
      <c r="V14" s="167"/>
      <c r="W14" s="167"/>
      <c r="X14" s="167"/>
      <c r="Y14" s="167"/>
      <c r="Z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O14" s="167"/>
      <c r="AP14" s="167"/>
      <c r="AQ14" s="167"/>
      <c r="AR14" s="185"/>
      <c r="AS14" s="167"/>
      <c r="AT14" s="167"/>
      <c r="AU14" s="164"/>
      <c r="AV14" s="164"/>
      <c r="AW14" s="210"/>
      <c r="AX14" s="210"/>
    </row>
    <row r="15" spans="1:50" s="178" customFormat="1" ht="11.25" customHeight="1" hidden="1" outlineLevel="1">
      <c r="A15" s="176" t="s">
        <v>46</v>
      </c>
      <c r="B15" s="176"/>
      <c r="C15" s="185"/>
      <c r="D15" s="185"/>
      <c r="E15" s="185"/>
      <c r="F15" s="185"/>
      <c r="G15" s="185"/>
      <c r="H15" s="185"/>
      <c r="I15" s="185"/>
      <c r="J15" s="211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64"/>
      <c r="AV15" s="164"/>
      <c r="AW15" s="210"/>
      <c r="AX15" s="210"/>
    </row>
    <row r="16" spans="1:50" s="178" customFormat="1" ht="11.25" customHeight="1" hidden="1" outlineLevel="1">
      <c r="A16" s="174" t="s">
        <v>47</v>
      </c>
      <c r="B16" s="174"/>
      <c r="C16" s="181">
        <v>446360</v>
      </c>
      <c r="D16" s="181">
        <v>15435149</v>
      </c>
      <c r="E16" s="181">
        <v>3946875</v>
      </c>
      <c r="F16" s="181">
        <v>5765931</v>
      </c>
      <c r="G16" s="181">
        <v>23498</v>
      </c>
      <c r="H16" s="181">
        <v>2262492</v>
      </c>
      <c r="I16" s="181">
        <v>0</v>
      </c>
      <c r="J16" s="181">
        <v>540407</v>
      </c>
      <c r="K16" s="181">
        <v>136716</v>
      </c>
      <c r="L16" s="181">
        <v>1970518</v>
      </c>
      <c r="M16" s="181">
        <v>1624450</v>
      </c>
      <c r="N16" s="181">
        <v>130704</v>
      </c>
      <c r="O16" s="181">
        <v>637592</v>
      </c>
      <c r="P16" s="181">
        <v>1225013</v>
      </c>
      <c r="Q16" s="181">
        <v>1933002</v>
      </c>
      <c r="R16" s="181">
        <v>979262</v>
      </c>
      <c r="S16" s="181">
        <v>42568</v>
      </c>
      <c r="T16" s="181">
        <v>265549</v>
      </c>
      <c r="U16" s="181">
        <v>10677</v>
      </c>
      <c r="V16" s="181">
        <v>264980</v>
      </c>
      <c r="W16" s="181">
        <v>8385</v>
      </c>
      <c r="X16" s="181">
        <v>603020</v>
      </c>
      <c r="Y16" s="181">
        <v>527038</v>
      </c>
      <c r="Z16" s="181">
        <v>1129044</v>
      </c>
      <c r="AA16" s="181">
        <v>793272</v>
      </c>
      <c r="AB16" s="181">
        <v>485459</v>
      </c>
      <c r="AC16" s="181">
        <v>427579</v>
      </c>
      <c r="AD16" s="181">
        <v>475551</v>
      </c>
      <c r="AE16" s="181">
        <v>193233</v>
      </c>
      <c r="AF16" s="181">
        <v>274934</v>
      </c>
      <c r="AG16" s="181">
        <v>95649</v>
      </c>
      <c r="AH16" s="181">
        <v>1947</v>
      </c>
      <c r="AI16" s="181">
        <v>168123</v>
      </c>
      <c r="AJ16" s="181">
        <v>106070</v>
      </c>
      <c r="AK16" s="181">
        <v>50785</v>
      </c>
      <c r="AL16" s="181">
        <v>146617</v>
      </c>
      <c r="AM16" s="181">
        <v>41749</v>
      </c>
      <c r="AN16" s="181">
        <v>50421</v>
      </c>
      <c r="AO16" s="181">
        <v>42837</v>
      </c>
      <c r="AP16" s="181">
        <v>60277</v>
      </c>
      <c r="AQ16" s="181">
        <v>29062</v>
      </c>
      <c r="AR16" s="181">
        <v>79211</v>
      </c>
      <c r="AS16" s="181">
        <v>198151</v>
      </c>
      <c r="AT16" s="185"/>
      <c r="AU16" s="164">
        <f>SUM(C16:AT16)</f>
        <v>43630157</v>
      </c>
      <c r="AV16" s="164"/>
      <c r="AW16" s="209">
        <f>SUMIF($C$163:$AS$163,"já",C16:AS16)</f>
        <v>19854079</v>
      </c>
      <c r="AX16" s="209">
        <f>SUMIF($C$163:$AS$163,"nei",C16:AS16)</f>
        <v>23776078</v>
      </c>
    </row>
    <row r="17" spans="1:50" s="178" customFormat="1" ht="11.25" customHeight="1" hidden="1" outlineLevel="1">
      <c r="A17" s="174" t="s">
        <v>48</v>
      </c>
      <c r="B17" s="174"/>
      <c r="C17" s="181">
        <v>0</v>
      </c>
      <c r="D17" s="181">
        <v>0</v>
      </c>
      <c r="E17" s="181">
        <v>-1673</v>
      </c>
      <c r="F17" s="181">
        <v>-22358</v>
      </c>
      <c r="G17" s="181">
        <v>0</v>
      </c>
      <c r="H17" s="181">
        <v>-8533</v>
      </c>
      <c r="I17" s="181">
        <v>0</v>
      </c>
      <c r="J17" s="181">
        <v>0</v>
      </c>
      <c r="K17" s="181">
        <v>0</v>
      </c>
      <c r="L17" s="181">
        <v>-11283</v>
      </c>
      <c r="M17" s="181">
        <v>-3170</v>
      </c>
      <c r="N17" s="181">
        <v>-272</v>
      </c>
      <c r="O17" s="181">
        <v>0</v>
      </c>
      <c r="P17" s="181">
        <v>-9631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-1447</v>
      </c>
      <c r="Y17" s="181">
        <v>-1676</v>
      </c>
      <c r="Z17" s="181">
        <v>0</v>
      </c>
      <c r="AA17" s="181">
        <v>-41886</v>
      </c>
      <c r="AB17" s="181">
        <v>0</v>
      </c>
      <c r="AC17" s="181">
        <v>0</v>
      </c>
      <c r="AD17" s="181">
        <v>0</v>
      </c>
      <c r="AE17" s="181">
        <v>0</v>
      </c>
      <c r="AF17" s="181">
        <v>0</v>
      </c>
      <c r="AG17" s="181">
        <v>-220</v>
      </c>
      <c r="AH17" s="181">
        <v>0</v>
      </c>
      <c r="AI17" s="181">
        <v>0</v>
      </c>
      <c r="AJ17" s="181">
        <v>0</v>
      </c>
      <c r="AK17" s="181">
        <v>0</v>
      </c>
      <c r="AL17" s="181">
        <v>0</v>
      </c>
      <c r="AM17" s="181">
        <v>-223</v>
      </c>
      <c r="AN17" s="181">
        <v>0</v>
      </c>
      <c r="AO17" s="181">
        <v>0</v>
      </c>
      <c r="AP17" s="181">
        <v>0</v>
      </c>
      <c r="AQ17" s="181">
        <v>0</v>
      </c>
      <c r="AR17" s="181">
        <v>0</v>
      </c>
      <c r="AS17" s="181">
        <v>0</v>
      </c>
      <c r="AT17" s="185"/>
      <c r="AU17" s="164">
        <f>SUM(C17:AT17)</f>
        <v>-102372</v>
      </c>
      <c r="AV17" s="164"/>
      <c r="AW17" s="209">
        <f>SUMIF($C$163:$AS$163,"já",C17:AS17)</f>
        <v>0</v>
      </c>
      <c r="AX17" s="209">
        <f>SUMIF($C$163:$AS$163,"nei",C17:AS17)</f>
        <v>-102372</v>
      </c>
    </row>
    <row r="18" spans="1:50" s="178" customFormat="1" ht="11.25" customHeight="1" hidden="1" outlineLevel="1">
      <c r="A18" s="174" t="s">
        <v>49</v>
      </c>
      <c r="B18" s="174"/>
      <c r="C18" s="181">
        <v>783</v>
      </c>
      <c r="D18" s="181">
        <v>1387</v>
      </c>
      <c r="E18" s="181">
        <v>7782</v>
      </c>
      <c r="F18" s="181">
        <v>12994</v>
      </c>
      <c r="G18" s="181">
        <v>0</v>
      </c>
      <c r="H18" s="181">
        <v>-59930</v>
      </c>
      <c r="I18" s="181">
        <v>0</v>
      </c>
      <c r="J18" s="181">
        <v>0</v>
      </c>
      <c r="K18" s="181">
        <v>0</v>
      </c>
      <c r="L18" s="181">
        <v>5612</v>
      </c>
      <c r="M18" s="181">
        <v>-34451</v>
      </c>
      <c r="N18" s="181">
        <v>0</v>
      </c>
      <c r="O18" s="181">
        <v>0</v>
      </c>
      <c r="P18" s="181">
        <v>3669</v>
      </c>
      <c r="Q18" s="181">
        <v>0</v>
      </c>
      <c r="R18" s="181">
        <v>0</v>
      </c>
      <c r="S18" s="181">
        <v>0</v>
      </c>
      <c r="T18" s="181">
        <v>37</v>
      </c>
      <c r="U18" s="181">
        <v>0</v>
      </c>
      <c r="V18" s="181">
        <v>0</v>
      </c>
      <c r="W18" s="181">
        <v>0</v>
      </c>
      <c r="X18" s="181">
        <v>-29366</v>
      </c>
      <c r="Y18" s="181">
        <v>0</v>
      </c>
      <c r="Z18" s="181">
        <v>95</v>
      </c>
      <c r="AA18" s="181">
        <v>511</v>
      </c>
      <c r="AB18" s="181">
        <v>27</v>
      </c>
      <c r="AC18" s="181">
        <v>0</v>
      </c>
      <c r="AD18" s="181">
        <v>-705</v>
      </c>
      <c r="AE18" s="181">
        <v>0</v>
      </c>
      <c r="AF18" s="181">
        <v>0</v>
      </c>
      <c r="AG18" s="181">
        <v>0</v>
      </c>
      <c r="AH18" s="181">
        <v>324</v>
      </c>
      <c r="AI18" s="181">
        <v>0</v>
      </c>
      <c r="AJ18" s="181">
        <v>0</v>
      </c>
      <c r="AK18" s="181">
        <v>0</v>
      </c>
      <c r="AL18" s="181">
        <v>0</v>
      </c>
      <c r="AM18" s="181">
        <v>-383</v>
      </c>
      <c r="AN18" s="181">
        <v>0</v>
      </c>
      <c r="AO18" s="181">
        <v>0</v>
      </c>
      <c r="AP18" s="181">
        <v>0</v>
      </c>
      <c r="AQ18" s="181">
        <v>0</v>
      </c>
      <c r="AR18" s="181">
        <v>0</v>
      </c>
      <c r="AS18" s="181">
        <v>0</v>
      </c>
      <c r="AT18" s="185"/>
      <c r="AU18" s="164">
        <f>SUM(C18:AT18)</f>
        <v>-91614</v>
      </c>
      <c r="AV18" s="164"/>
      <c r="AW18" s="209">
        <f>SUMIF($C$163:$AS$163,"já",C18:AS18)</f>
        <v>1482</v>
      </c>
      <c r="AX18" s="209">
        <f>SUMIF($C$163:$AS$163,"nei",C18:AS18)</f>
        <v>-93096</v>
      </c>
    </row>
    <row r="19" spans="1:50" s="178" customFormat="1" ht="11.25" customHeight="1" hidden="1" outlineLevel="1">
      <c r="A19" s="174" t="s">
        <v>50</v>
      </c>
      <c r="B19" s="174"/>
      <c r="C19" s="181">
        <v>0</v>
      </c>
      <c r="D19" s="181">
        <v>0</v>
      </c>
      <c r="E19" s="181">
        <v>0</v>
      </c>
      <c r="F19" s="181">
        <v>-370026</v>
      </c>
      <c r="G19" s="181">
        <v>0</v>
      </c>
      <c r="H19" s="181">
        <v>3275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-1573</v>
      </c>
      <c r="V19" s="181">
        <v>0</v>
      </c>
      <c r="W19" s="181">
        <v>0</v>
      </c>
      <c r="X19" s="181">
        <v>0</v>
      </c>
      <c r="Y19" s="181">
        <v>0</v>
      </c>
      <c r="Z19" s="181">
        <v>0</v>
      </c>
      <c r="AA19" s="181">
        <v>0</v>
      </c>
      <c r="AB19" s="181">
        <v>0</v>
      </c>
      <c r="AC19" s="181">
        <v>0</v>
      </c>
      <c r="AD19" s="181">
        <v>0</v>
      </c>
      <c r="AE19" s="181">
        <v>0</v>
      </c>
      <c r="AF19" s="181">
        <v>0</v>
      </c>
      <c r="AG19" s="181">
        <v>0</v>
      </c>
      <c r="AH19" s="181">
        <v>418</v>
      </c>
      <c r="AI19" s="181">
        <v>0</v>
      </c>
      <c r="AJ19" s="181">
        <v>0</v>
      </c>
      <c r="AK19" s="181">
        <v>0</v>
      </c>
      <c r="AL19" s="181">
        <v>0</v>
      </c>
      <c r="AM19" s="181">
        <v>0</v>
      </c>
      <c r="AN19" s="181">
        <v>0</v>
      </c>
      <c r="AO19" s="181">
        <v>0</v>
      </c>
      <c r="AP19" s="181">
        <v>0</v>
      </c>
      <c r="AQ19" s="181">
        <v>0</v>
      </c>
      <c r="AR19" s="181">
        <v>0</v>
      </c>
      <c r="AS19" s="181">
        <v>0</v>
      </c>
      <c r="AT19" s="185"/>
      <c r="AU19" s="164">
        <f>SUM(C19:AT19)</f>
        <v>-367906</v>
      </c>
      <c r="AV19" s="164"/>
      <c r="AW19" s="209">
        <f>SUMIF($C$163:$AS$163,"já",C19:AS19)</f>
        <v>0</v>
      </c>
      <c r="AX19" s="209">
        <f>SUMIF($C$163:$AS$163,"nei",C19:AS19)</f>
        <v>-367906</v>
      </c>
    </row>
    <row r="20" spans="1:50" s="178" customFormat="1" ht="11.25" customHeight="1" collapsed="1">
      <c r="A20" s="176" t="s">
        <v>51</v>
      </c>
      <c r="B20" s="176"/>
      <c r="C20" s="178">
        <f>SUM(C16:C19)</f>
        <v>447143</v>
      </c>
      <c r="D20" s="178">
        <f aca="true" t="shared" si="2" ref="D20:AS20">SUM(D16:D19)</f>
        <v>15436536</v>
      </c>
      <c r="E20" s="178">
        <f t="shared" si="2"/>
        <v>3952984</v>
      </c>
      <c r="F20" s="178">
        <f t="shared" si="2"/>
        <v>5386541</v>
      </c>
      <c r="G20" s="178">
        <f t="shared" si="2"/>
        <v>23498</v>
      </c>
      <c r="H20" s="178">
        <f t="shared" si="2"/>
        <v>2197304</v>
      </c>
      <c r="I20" s="178">
        <f t="shared" si="2"/>
        <v>0</v>
      </c>
      <c r="J20" s="178">
        <f t="shared" si="2"/>
        <v>540407</v>
      </c>
      <c r="K20" s="178">
        <f t="shared" si="2"/>
        <v>136716</v>
      </c>
      <c r="L20" s="178">
        <f>SUM(L16:L19)</f>
        <v>1964847</v>
      </c>
      <c r="M20" s="178">
        <f t="shared" si="2"/>
        <v>1586829</v>
      </c>
      <c r="N20" s="178">
        <f t="shared" si="2"/>
        <v>130432</v>
      </c>
      <c r="O20" s="178">
        <f t="shared" si="2"/>
        <v>637592</v>
      </c>
      <c r="P20" s="178">
        <f t="shared" si="2"/>
        <v>1219051</v>
      </c>
      <c r="Q20" s="178">
        <f>SUM(Q16:Q19)</f>
        <v>1933002</v>
      </c>
      <c r="R20" s="178">
        <f t="shared" si="2"/>
        <v>979262</v>
      </c>
      <c r="S20" s="178">
        <f t="shared" si="2"/>
        <v>42568</v>
      </c>
      <c r="T20" s="178">
        <f t="shared" si="2"/>
        <v>265586</v>
      </c>
      <c r="U20" s="178">
        <f>SUM(U16:U19)</f>
        <v>9104</v>
      </c>
      <c r="V20" s="178">
        <f t="shared" si="2"/>
        <v>264980</v>
      </c>
      <c r="W20" s="178">
        <f t="shared" si="2"/>
        <v>8385</v>
      </c>
      <c r="X20" s="178">
        <f>SUM(X16:X19)</f>
        <v>572207</v>
      </c>
      <c r="Y20" s="178">
        <f>SUM(Y16:Y19)</f>
        <v>525362</v>
      </c>
      <c r="Z20" s="178">
        <f t="shared" si="2"/>
        <v>1129139</v>
      </c>
      <c r="AA20" s="178">
        <f t="shared" si="2"/>
        <v>751897</v>
      </c>
      <c r="AB20" s="178">
        <f t="shared" si="2"/>
        <v>485486</v>
      </c>
      <c r="AC20" s="178">
        <f t="shared" si="2"/>
        <v>427579</v>
      </c>
      <c r="AD20" s="178">
        <f>SUM(AD16:AD19)</f>
        <v>474846</v>
      </c>
      <c r="AE20" s="178">
        <f t="shared" si="2"/>
        <v>193233</v>
      </c>
      <c r="AF20" s="178">
        <f>SUM(AF16:AF19)</f>
        <v>274934</v>
      </c>
      <c r="AG20" s="178">
        <f t="shared" si="2"/>
        <v>95429</v>
      </c>
      <c r="AH20" s="178">
        <f aca="true" t="shared" si="3" ref="AH20:AQ20">SUM(AH16:AH19)</f>
        <v>2689</v>
      </c>
      <c r="AI20" s="178">
        <f t="shared" si="3"/>
        <v>168123</v>
      </c>
      <c r="AJ20" s="178">
        <f>SUM(AJ16:AJ19)</f>
        <v>106070</v>
      </c>
      <c r="AK20" s="178">
        <f t="shared" si="3"/>
        <v>50785</v>
      </c>
      <c r="AL20" s="178">
        <f t="shared" si="3"/>
        <v>146617</v>
      </c>
      <c r="AM20" s="178">
        <f t="shared" si="3"/>
        <v>41143</v>
      </c>
      <c r="AN20" s="178">
        <f t="shared" si="3"/>
        <v>50421</v>
      </c>
      <c r="AO20" s="178">
        <f t="shared" si="3"/>
        <v>42837</v>
      </c>
      <c r="AP20" s="178">
        <f t="shared" si="3"/>
        <v>60277</v>
      </c>
      <c r="AQ20" s="178">
        <f t="shared" si="3"/>
        <v>29062</v>
      </c>
      <c r="AR20" s="178">
        <f t="shared" si="2"/>
        <v>79211</v>
      </c>
      <c r="AS20" s="178">
        <f t="shared" si="2"/>
        <v>198151</v>
      </c>
      <c r="AT20" s="167"/>
      <c r="AU20" s="164">
        <f>SUM(AU16:AU19)</f>
        <v>43068265</v>
      </c>
      <c r="AV20" s="164"/>
      <c r="AW20" s="210">
        <f>SUM(AW16:AW19)</f>
        <v>19855561</v>
      </c>
      <c r="AX20" s="210">
        <f>SUM(AX16:AX19)</f>
        <v>23212704</v>
      </c>
    </row>
    <row r="21" spans="1:50" s="178" customFormat="1" ht="11.25" customHeight="1">
      <c r="A21" s="176"/>
      <c r="B21" s="176"/>
      <c r="C21" s="167"/>
      <c r="D21" s="167"/>
      <c r="G21" s="167"/>
      <c r="H21" s="167"/>
      <c r="K21" s="167"/>
      <c r="L21" s="167"/>
      <c r="M21" s="167"/>
      <c r="O21" s="167"/>
      <c r="P21" s="185"/>
      <c r="R21" s="167"/>
      <c r="T21" s="167"/>
      <c r="V21" s="167"/>
      <c r="W21" s="167"/>
      <c r="X21" s="167"/>
      <c r="Y21" s="167"/>
      <c r="Z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O21" s="185"/>
      <c r="AP21" s="167"/>
      <c r="AQ21" s="167"/>
      <c r="AR21" s="167"/>
      <c r="AS21" s="167"/>
      <c r="AT21" s="167"/>
      <c r="AU21" s="164"/>
      <c r="AV21" s="164"/>
      <c r="AW21" s="210"/>
      <c r="AX21" s="210"/>
    </row>
    <row r="22" spans="1:50" s="178" customFormat="1" ht="11.25" customHeight="1" hidden="1" outlineLevel="1">
      <c r="A22" s="176" t="s">
        <v>52</v>
      </c>
      <c r="B22" s="176"/>
      <c r="C22" s="185"/>
      <c r="D22" s="185"/>
      <c r="E22" s="185"/>
      <c r="G22" s="185"/>
      <c r="H22" s="185"/>
      <c r="K22" s="185"/>
      <c r="L22" s="185"/>
      <c r="M22" s="185"/>
      <c r="O22" s="185"/>
      <c r="P22" s="185"/>
      <c r="Q22" s="185"/>
      <c r="S22" s="185"/>
      <c r="T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M22" s="185"/>
      <c r="AN22" s="185"/>
      <c r="AO22" s="185"/>
      <c r="AP22" s="185"/>
      <c r="AQ22" s="185"/>
      <c r="AR22" s="185"/>
      <c r="AS22" s="185"/>
      <c r="AT22" s="185"/>
      <c r="AU22" s="164"/>
      <c r="AV22" s="164"/>
      <c r="AW22" s="210"/>
      <c r="AX22" s="210"/>
    </row>
    <row r="23" spans="1:50" s="178" customFormat="1" ht="11.25" customHeight="1" hidden="1" outlineLevel="1">
      <c r="A23" s="174" t="s">
        <v>53</v>
      </c>
      <c r="B23" s="174"/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1">
        <v>0</v>
      </c>
      <c r="AA23" s="181">
        <v>0</v>
      </c>
      <c r="AB23" s="181">
        <v>0</v>
      </c>
      <c r="AC23" s="181">
        <v>0</v>
      </c>
      <c r="AD23" s="181">
        <v>0</v>
      </c>
      <c r="AE23" s="181">
        <v>0</v>
      </c>
      <c r="AF23" s="181">
        <v>0</v>
      </c>
      <c r="AG23" s="181">
        <v>0</v>
      </c>
      <c r="AH23" s="181">
        <v>0</v>
      </c>
      <c r="AI23" s="181">
        <v>0</v>
      </c>
      <c r="AJ23" s="181">
        <v>0</v>
      </c>
      <c r="AK23" s="181">
        <v>0</v>
      </c>
      <c r="AL23" s="181">
        <v>0</v>
      </c>
      <c r="AM23" s="181">
        <v>0</v>
      </c>
      <c r="AN23" s="181">
        <v>0</v>
      </c>
      <c r="AO23" s="181">
        <v>0</v>
      </c>
      <c r="AP23" s="181">
        <v>0</v>
      </c>
      <c r="AQ23" s="181">
        <v>0</v>
      </c>
      <c r="AR23" s="181">
        <v>0</v>
      </c>
      <c r="AS23" s="181">
        <v>0</v>
      </c>
      <c r="AT23" s="185"/>
      <c r="AU23" s="164">
        <f aca="true" t="shared" si="4" ref="AU23:AU31">SUM(C23:AT23)</f>
        <v>0</v>
      </c>
      <c r="AV23" s="164"/>
      <c r="AW23" s="209">
        <f aca="true" t="shared" si="5" ref="AW23:AW31">SUMIF($C$163:$AS$163,"já",C23:AS23)</f>
        <v>0</v>
      </c>
      <c r="AX23" s="209">
        <f aca="true" t="shared" si="6" ref="AX23:AX31">SUMIF($C$163:$AS$163,"nei",C23:AS23)</f>
        <v>0</v>
      </c>
    </row>
    <row r="24" spans="1:50" s="178" customFormat="1" ht="11.25" customHeight="1" hidden="1" outlineLevel="1">
      <c r="A24" s="174" t="s">
        <v>54</v>
      </c>
      <c r="B24" s="174"/>
      <c r="C24" s="181">
        <v>-577033</v>
      </c>
      <c r="D24" s="181">
        <v>-469912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11</v>
      </c>
      <c r="Z24" s="181">
        <v>-75863</v>
      </c>
      <c r="AA24" s="181">
        <v>0</v>
      </c>
      <c r="AB24" s="181">
        <v>0</v>
      </c>
      <c r="AC24" s="181">
        <v>0</v>
      </c>
      <c r="AD24" s="181">
        <v>0</v>
      </c>
      <c r="AE24" s="181">
        <v>0</v>
      </c>
      <c r="AF24" s="181">
        <v>0</v>
      </c>
      <c r="AG24" s="181">
        <v>0</v>
      </c>
      <c r="AH24" s="181">
        <v>0</v>
      </c>
      <c r="AI24" s="181">
        <v>0</v>
      </c>
      <c r="AJ24" s="181">
        <v>0</v>
      </c>
      <c r="AK24" s="181">
        <v>0</v>
      </c>
      <c r="AL24" s="181">
        <v>0</v>
      </c>
      <c r="AM24" s="181">
        <v>0</v>
      </c>
      <c r="AN24" s="181">
        <v>0</v>
      </c>
      <c r="AO24" s="181">
        <v>0</v>
      </c>
      <c r="AP24" s="181">
        <v>0</v>
      </c>
      <c r="AQ24" s="181">
        <v>0</v>
      </c>
      <c r="AR24" s="181">
        <v>0</v>
      </c>
      <c r="AS24" s="181">
        <v>0</v>
      </c>
      <c r="AT24" s="185"/>
      <c r="AU24" s="164">
        <f t="shared" si="4"/>
        <v>-1122797</v>
      </c>
      <c r="AV24" s="164"/>
      <c r="AW24" s="209">
        <f t="shared" si="5"/>
        <v>-545775</v>
      </c>
      <c r="AX24" s="209">
        <f t="shared" si="6"/>
        <v>-577022</v>
      </c>
    </row>
    <row r="25" spans="1:50" s="178" customFormat="1" ht="11.25" customHeight="1" hidden="1" outlineLevel="1">
      <c r="A25" s="174" t="s">
        <v>55</v>
      </c>
      <c r="B25" s="174"/>
      <c r="C25" s="181">
        <v>0</v>
      </c>
      <c r="D25" s="181">
        <v>0</v>
      </c>
      <c r="E25" s="181">
        <v>684264</v>
      </c>
      <c r="F25" s="181">
        <v>3793701</v>
      </c>
      <c r="G25" s="181">
        <v>0</v>
      </c>
      <c r="H25" s="181">
        <v>981934</v>
      </c>
      <c r="I25" s="181">
        <v>-31072</v>
      </c>
      <c r="J25" s="181">
        <v>-51</v>
      </c>
      <c r="K25" s="181">
        <v>62652</v>
      </c>
      <c r="L25" s="181">
        <v>606543</v>
      </c>
      <c r="M25" s="181">
        <v>1380736</v>
      </c>
      <c r="N25" s="181">
        <v>-48146</v>
      </c>
      <c r="O25" s="181">
        <v>0</v>
      </c>
      <c r="P25" s="181">
        <v>782905</v>
      </c>
      <c r="Q25" s="181">
        <v>227</v>
      </c>
      <c r="R25" s="181">
        <v>795</v>
      </c>
      <c r="S25" s="181">
        <v>3923</v>
      </c>
      <c r="T25" s="181">
        <v>-55667</v>
      </c>
      <c r="U25" s="181">
        <v>2435</v>
      </c>
      <c r="V25" s="181">
        <v>6232</v>
      </c>
      <c r="W25" s="181">
        <v>628</v>
      </c>
      <c r="X25" s="181">
        <v>450037</v>
      </c>
      <c r="Y25" s="181">
        <v>679643</v>
      </c>
      <c r="Z25" s="181">
        <v>0</v>
      </c>
      <c r="AA25" s="181">
        <v>11997</v>
      </c>
      <c r="AB25" s="181">
        <v>-9676</v>
      </c>
      <c r="AC25" s="181">
        <v>387580</v>
      </c>
      <c r="AD25" s="181">
        <v>5072</v>
      </c>
      <c r="AE25" s="181">
        <v>0</v>
      </c>
      <c r="AF25" s="181">
        <v>-28659</v>
      </c>
      <c r="AG25" s="181">
        <v>55390</v>
      </c>
      <c r="AH25" s="181">
        <v>0</v>
      </c>
      <c r="AI25" s="181">
        <v>-275</v>
      </c>
      <c r="AJ25" s="181">
        <v>9640</v>
      </c>
      <c r="AK25" s="181">
        <v>9951</v>
      </c>
      <c r="AL25" s="181">
        <v>917</v>
      </c>
      <c r="AM25" s="181">
        <v>-1083</v>
      </c>
      <c r="AN25" s="181">
        <v>6</v>
      </c>
      <c r="AO25" s="181">
        <v>0</v>
      </c>
      <c r="AP25" s="181">
        <v>0</v>
      </c>
      <c r="AQ25" s="181">
        <v>0</v>
      </c>
      <c r="AR25" s="181">
        <v>0</v>
      </c>
      <c r="AS25" s="181">
        <v>0</v>
      </c>
      <c r="AT25" s="185"/>
      <c r="AU25" s="164">
        <f t="shared" si="4"/>
        <v>9742579</v>
      </c>
      <c r="AV25" s="164"/>
      <c r="AW25" s="209">
        <f t="shared" si="5"/>
        <v>-8193</v>
      </c>
      <c r="AX25" s="209">
        <f t="shared" si="6"/>
        <v>9750772</v>
      </c>
    </row>
    <row r="26" spans="1:50" s="178" customFormat="1" ht="11.25" customHeight="1" hidden="1" outlineLevel="1">
      <c r="A26" s="174" t="s">
        <v>56</v>
      </c>
      <c r="B26" s="174"/>
      <c r="C26" s="181">
        <v>0</v>
      </c>
      <c r="D26" s="181">
        <v>0</v>
      </c>
      <c r="E26" s="181">
        <v>1725</v>
      </c>
      <c r="F26" s="181">
        <v>6430</v>
      </c>
      <c r="G26" s="181">
        <v>0</v>
      </c>
      <c r="H26" s="181">
        <v>5842</v>
      </c>
      <c r="I26" s="181">
        <v>0</v>
      </c>
      <c r="J26" s="181">
        <v>0</v>
      </c>
      <c r="K26" s="181">
        <v>0</v>
      </c>
      <c r="L26" s="181">
        <v>167</v>
      </c>
      <c r="M26" s="181">
        <v>0</v>
      </c>
      <c r="N26" s="181">
        <v>0</v>
      </c>
      <c r="O26" s="181">
        <v>0</v>
      </c>
      <c r="P26" s="181">
        <v>312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2794</v>
      </c>
      <c r="Y26" s="181">
        <v>0</v>
      </c>
      <c r="Z26" s="181">
        <v>0</v>
      </c>
      <c r="AA26" s="181">
        <v>0</v>
      </c>
      <c r="AB26" s="181">
        <v>0</v>
      </c>
      <c r="AC26" s="181">
        <v>0</v>
      </c>
      <c r="AD26" s="181">
        <v>0</v>
      </c>
      <c r="AE26" s="181">
        <v>0</v>
      </c>
      <c r="AF26" s="181">
        <v>0</v>
      </c>
      <c r="AG26" s="181">
        <v>347</v>
      </c>
      <c r="AH26" s="181">
        <v>0</v>
      </c>
      <c r="AI26" s="181">
        <v>0</v>
      </c>
      <c r="AJ26" s="181">
        <v>0</v>
      </c>
      <c r="AK26" s="181">
        <v>170548</v>
      </c>
      <c r="AL26" s="181">
        <v>0</v>
      </c>
      <c r="AM26" s="181">
        <v>0</v>
      </c>
      <c r="AN26" s="181">
        <v>0</v>
      </c>
      <c r="AO26" s="181">
        <v>0</v>
      </c>
      <c r="AP26" s="181">
        <v>0</v>
      </c>
      <c r="AQ26" s="181">
        <v>0</v>
      </c>
      <c r="AR26" s="181">
        <v>0</v>
      </c>
      <c r="AS26" s="181">
        <v>0</v>
      </c>
      <c r="AT26" s="185"/>
      <c r="AU26" s="164">
        <f t="shared" si="4"/>
        <v>188165</v>
      </c>
      <c r="AV26" s="164"/>
      <c r="AW26" s="209">
        <f t="shared" si="5"/>
        <v>170548</v>
      </c>
      <c r="AX26" s="209">
        <f t="shared" si="6"/>
        <v>17617</v>
      </c>
    </row>
    <row r="27" spans="1:50" s="178" customFormat="1" ht="11.25" customHeight="1" hidden="1" outlineLevel="1">
      <c r="A27" s="174" t="s">
        <v>57</v>
      </c>
      <c r="B27" s="174"/>
      <c r="C27" s="181">
        <v>5190204</v>
      </c>
      <c r="D27" s="181">
        <v>10805108</v>
      </c>
      <c r="E27" s="181">
        <v>16433843</v>
      </c>
      <c r="F27" s="181">
        <v>14496786</v>
      </c>
      <c r="G27" s="181">
        <v>502558</v>
      </c>
      <c r="H27" s="181">
        <v>3829444</v>
      </c>
      <c r="I27" s="181">
        <v>807262</v>
      </c>
      <c r="J27" s="181">
        <v>503874</v>
      </c>
      <c r="K27" s="181">
        <v>228716</v>
      </c>
      <c r="L27" s="181">
        <v>3524132</v>
      </c>
      <c r="M27" s="181">
        <v>3691800</v>
      </c>
      <c r="N27" s="181">
        <v>502882</v>
      </c>
      <c r="O27" s="181">
        <v>3596464</v>
      </c>
      <c r="P27" s="181">
        <v>3718568</v>
      </c>
      <c r="Q27" s="181">
        <v>3752437</v>
      </c>
      <c r="R27" s="181">
        <v>1927689</v>
      </c>
      <c r="S27" s="181">
        <v>755138</v>
      </c>
      <c r="T27" s="181">
        <v>1556829</v>
      </c>
      <c r="U27" s="181">
        <v>229231</v>
      </c>
      <c r="V27" s="181">
        <v>1565093</v>
      </c>
      <c r="W27" s="181">
        <v>157726</v>
      </c>
      <c r="X27" s="181">
        <v>1042720</v>
      </c>
      <c r="Y27" s="181">
        <v>912322</v>
      </c>
      <c r="Z27" s="181">
        <v>1095544</v>
      </c>
      <c r="AA27" s="181">
        <v>1033221</v>
      </c>
      <c r="AB27" s="181">
        <v>1115958</v>
      </c>
      <c r="AC27" s="181">
        <v>1023852</v>
      </c>
      <c r="AD27" s="181">
        <v>871583</v>
      </c>
      <c r="AE27" s="181">
        <v>386790</v>
      </c>
      <c r="AF27" s="181">
        <v>443947</v>
      </c>
      <c r="AG27" s="181">
        <v>226667</v>
      </c>
      <c r="AH27" s="181">
        <v>20860</v>
      </c>
      <c r="AI27" s="181">
        <v>150686</v>
      </c>
      <c r="AJ27" s="181">
        <v>115268</v>
      </c>
      <c r="AK27" s="181">
        <v>0</v>
      </c>
      <c r="AL27" s="181">
        <v>91800</v>
      </c>
      <c r="AM27" s="181">
        <v>113404</v>
      </c>
      <c r="AN27" s="181">
        <v>41327</v>
      </c>
      <c r="AO27" s="181">
        <v>46632</v>
      </c>
      <c r="AP27" s="181">
        <v>32474</v>
      </c>
      <c r="AQ27" s="181">
        <v>18837</v>
      </c>
      <c r="AR27" s="181">
        <v>6697</v>
      </c>
      <c r="AS27" s="181">
        <v>3565</v>
      </c>
      <c r="AT27" s="185"/>
      <c r="AU27" s="164">
        <f t="shared" si="4"/>
        <v>86569938</v>
      </c>
      <c r="AV27" s="164"/>
      <c r="AW27" s="209">
        <f t="shared" si="5"/>
        <v>16944480</v>
      </c>
      <c r="AX27" s="209">
        <f t="shared" si="6"/>
        <v>69625458</v>
      </c>
    </row>
    <row r="28" spans="1:50" s="178" customFormat="1" ht="11.25" customHeight="1" hidden="1" outlineLevel="1">
      <c r="A28" s="174" t="s">
        <v>58</v>
      </c>
      <c r="B28" s="174"/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-329617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1">
        <v>0</v>
      </c>
      <c r="AA28" s="181">
        <v>0</v>
      </c>
      <c r="AB28" s="181">
        <v>0</v>
      </c>
      <c r="AC28" s="181">
        <v>0</v>
      </c>
      <c r="AD28" s="181">
        <v>0</v>
      </c>
      <c r="AE28" s="181">
        <v>0</v>
      </c>
      <c r="AF28" s="181">
        <v>0</v>
      </c>
      <c r="AG28" s="181">
        <v>5252</v>
      </c>
      <c r="AH28" s="181">
        <v>0</v>
      </c>
      <c r="AI28" s="181">
        <v>0</v>
      </c>
      <c r="AJ28" s="181">
        <v>-665</v>
      </c>
      <c r="AK28" s="181">
        <v>0</v>
      </c>
      <c r="AL28" s="181">
        <v>0</v>
      </c>
      <c r="AM28" s="181">
        <v>0</v>
      </c>
      <c r="AN28" s="181">
        <v>0</v>
      </c>
      <c r="AO28" s="181">
        <v>0</v>
      </c>
      <c r="AP28" s="181">
        <v>0</v>
      </c>
      <c r="AQ28" s="181">
        <v>0</v>
      </c>
      <c r="AR28" s="181">
        <v>0</v>
      </c>
      <c r="AS28" s="181">
        <v>60</v>
      </c>
      <c r="AT28" s="185"/>
      <c r="AU28" s="164">
        <f t="shared" si="4"/>
        <v>-324970</v>
      </c>
      <c r="AV28" s="164"/>
      <c r="AW28" s="209">
        <f t="shared" si="5"/>
        <v>-605</v>
      </c>
      <c r="AX28" s="209">
        <f t="shared" si="6"/>
        <v>-324365</v>
      </c>
    </row>
    <row r="29" spans="1:50" s="178" customFormat="1" ht="11.25" customHeight="1" hidden="1" outlineLevel="1">
      <c r="A29" s="174" t="s">
        <v>59</v>
      </c>
      <c r="B29" s="174"/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181">
        <v>0</v>
      </c>
      <c r="AB29" s="181">
        <v>0</v>
      </c>
      <c r="AC29" s="181">
        <v>0</v>
      </c>
      <c r="AD29" s="181">
        <v>0</v>
      </c>
      <c r="AE29" s="181">
        <v>0</v>
      </c>
      <c r="AF29" s="181">
        <v>0</v>
      </c>
      <c r="AG29" s="181">
        <v>0</v>
      </c>
      <c r="AH29" s="181">
        <v>0</v>
      </c>
      <c r="AI29" s="181">
        <v>0</v>
      </c>
      <c r="AJ29" s="181">
        <v>0</v>
      </c>
      <c r="AK29" s="181">
        <v>0</v>
      </c>
      <c r="AL29" s="181">
        <v>0</v>
      </c>
      <c r="AM29" s="181">
        <v>0</v>
      </c>
      <c r="AN29" s="181">
        <v>0</v>
      </c>
      <c r="AO29" s="181">
        <v>0</v>
      </c>
      <c r="AP29" s="181">
        <v>0</v>
      </c>
      <c r="AQ29" s="181">
        <v>0</v>
      </c>
      <c r="AR29" s="181">
        <v>0</v>
      </c>
      <c r="AS29" s="181">
        <v>0</v>
      </c>
      <c r="AT29" s="185"/>
      <c r="AU29" s="164">
        <f t="shared" si="4"/>
        <v>0</v>
      </c>
      <c r="AV29" s="164"/>
      <c r="AW29" s="209">
        <f t="shared" si="5"/>
        <v>0</v>
      </c>
      <c r="AX29" s="209">
        <f t="shared" si="6"/>
        <v>0</v>
      </c>
    </row>
    <row r="30" spans="1:50" s="178" customFormat="1" ht="11.25" customHeight="1" hidden="1" outlineLevel="1">
      <c r="A30" s="174" t="s">
        <v>60</v>
      </c>
      <c r="B30" s="174"/>
      <c r="C30" s="181">
        <v>-7300</v>
      </c>
      <c r="D30" s="181">
        <v>-6750</v>
      </c>
      <c r="E30" s="181">
        <v>-17968</v>
      </c>
      <c r="F30" s="181">
        <v>0</v>
      </c>
      <c r="G30" s="181">
        <v>0</v>
      </c>
      <c r="H30" s="181">
        <v>-2629</v>
      </c>
      <c r="I30" s="181">
        <v>0</v>
      </c>
      <c r="J30" s="181">
        <v>0</v>
      </c>
      <c r="K30" s="181">
        <v>0</v>
      </c>
      <c r="L30" s="181">
        <v>-33989</v>
      </c>
      <c r="M30" s="181">
        <v>-12335</v>
      </c>
      <c r="N30" s="181">
        <v>0</v>
      </c>
      <c r="O30" s="181">
        <v>-18000</v>
      </c>
      <c r="P30" s="181">
        <v>-4034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-37104</v>
      </c>
      <c r="Y30" s="181">
        <v>0</v>
      </c>
      <c r="Z30" s="181">
        <v>-740</v>
      </c>
      <c r="AA30" s="181">
        <v>-29</v>
      </c>
      <c r="AB30" s="181">
        <v>0</v>
      </c>
      <c r="AC30" s="181">
        <v>0</v>
      </c>
      <c r="AD30" s="181">
        <v>-2393</v>
      </c>
      <c r="AE30" s="181">
        <v>0</v>
      </c>
      <c r="AF30" s="181">
        <v>-241</v>
      </c>
      <c r="AG30" s="181">
        <v>-2320</v>
      </c>
      <c r="AH30" s="181">
        <v>0</v>
      </c>
      <c r="AI30" s="181">
        <v>0</v>
      </c>
      <c r="AJ30" s="181">
        <v>0</v>
      </c>
      <c r="AK30" s="181">
        <v>0</v>
      </c>
      <c r="AL30" s="181">
        <v>0</v>
      </c>
      <c r="AM30" s="181">
        <v>0</v>
      </c>
      <c r="AN30" s="181">
        <v>0</v>
      </c>
      <c r="AO30" s="181">
        <v>0</v>
      </c>
      <c r="AP30" s="181">
        <v>-725</v>
      </c>
      <c r="AQ30" s="181">
        <v>0</v>
      </c>
      <c r="AR30" s="181">
        <v>0</v>
      </c>
      <c r="AS30" s="181">
        <v>0</v>
      </c>
      <c r="AT30" s="185"/>
      <c r="AU30" s="164">
        <f t="shared" si="4"/>
        <v>-146557</v>
      </c>
      <c r="AV30" s="164"/>
      <c r="AW30" s="209">
        <f t="shared" si="5"/>
        <v>-8456</v>
      </c>
      <c r="AX30" s="209">
        <f t="shared" si="6"/>
        <v>-138101</v>
      </c>
    </row>
    <row r="31" spans="1:50" s="178" customFormat="1" ht="11.25" customHeight="1" hidden="1" outlineLevel="1">
      <c r="A31" s="174" t="s">
        <v>61</v>
      </c>
      <c r="B31" s="174"/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446408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1">
        <v>0</v>
      </c>
      <c r="AA31" s="181">
        <v>0</v>
      </c>
      <c r="AB31" s="181">
        <v>0</v>
      </c>
      <c r="AC31" s="181">
        <v>0</v>
      </c>
      <c r="AD31" s="181">
        <v>0</v>
      </c>
      <c r="AE31" s="181">
        <v>0</v>
      </c>
      <c r="AF31" s="181">
        <v>0</v>
      </c>
      <c r="AG31" s="181">
        <v>0</v>
      </c>
      <c r="AH31" s="181">
        <v>0</v>
      </c>
      <c r="AI31" s="181">
        <v>0</v>
      </c>
      <c r="AJ31" s="181">
        <v>0</v>
      </c>
      <c r="AK31" s="181">
        <v>0</v>
      </c>
      <c r="AL31" s="181">
        <v>0</v>
      </c>
      <c r="AM31" s="181">
        <v>0</v>
      </c>
      <c r="AN31" s="181">
        <v>0</v>
      </c>
      <c r="AO31" s="181">
        <v>0</v>
      </c>
      <c r="AP31" s="181">
        <v>0</v>
      </c>
      <c r="AQ31" s="181">
        <v>0</v>
      </c>
      <c r="AR31" s="181">
        <v>0</v>
      </c>
      <c r="AS31" s="181">
        <v>0</v>
      </c>
      <c r="AT31" s="185"/>
      <c r="AU31" s="164">
        <f t="shared" si="4"/>
        <v>446408</v>
      </c>
      <c r="AV31" s="164"/>
      <c r="AW31" s="209">
        <f t="shared" si="5"/>
        <v>0</v>
      </c>
      <c r="AX31" s="209">
        <f t="shared" si="6"/>
        <v>446408</v>
      </c>
    </row>
    <row r="32" spans="1:50" s="178" customFormat="1" ht="11.25" customHeight="1" collapsed="1">
      <c r="A32" s="176" t="s">
        <v>62</v>
      </c>
      <c r="B32" s="176"/>
      <c r="C32" s="178">
        <f>SUM(C23:C31)</f>
        <v>4605871</v>
      </c>
      <c r="D32" s="178">
        <f aca="true" t="shared" si="7" ref="D32:AS32">SUM(D23:D31)</f>
        <v>10328446</v>
      </c>
      <c r="E32" s="178">
        <f t="shared" si="7"/>
        <v>17101864</v>
      </c>
      <c r="F32" s="178">
        <f t="shared" si="7"/>
        <v>18296917</v>
      </c>
      <c r="G32" s="178">
        <f t="shared" si="7"/>
        <v>502558</v>
      </c>
      <c r="H32" s="178">
        <f t="shared" si="7"/>
        <v>4814591</v>
      </c>
      <c r="I32" s="178">
        <f t="shared" si="7"/>
        <v>776190</v>
      </c>
      <c r="J32" s="178">
        <f t="shared" si="7"/>
        <v>503823</v>
      </c>
      <c r="K32" s="178">
        <f t="shared" si="7"/>
        <v>291368</v>
      </c>
      <c r="L32" s="178">
        <f>SUM(L23:L31)</f>
        <v>4543261</v>
      </c>
      <c r="M32" s="178">
        <f t="shared" si="7"/>
        <v>5060201</v>
      </c>
      <c r="N32" s="178">
        <f t="shared" si="7"/>
        <v>454736</v>
      </c>
      <c r="O32" s="178">
        <f t="shared" si="7"/>
        <v>3248847</v>
      </c>
      <c r="P32" s="178">
        <f t="shared" si="7"/>
        <v>4497751</v>
      </c>
      <c r="Q32" s="178">
        <f>SUM(Q23:Q31)</f>
        <v>3752664</v>
      </c>
      <c r="R32" s="178">
        <f t="shared" si="7"/>
        <v>1928484</v>
      </c>
      <c r="S32" s="178">
        <f t="shared" si="7"/>
        <v>759061</v>
      </c>
      <c r="T32" s="178">
        <f t="shared" si="7"/>
        <v>1501162</v>
      </c>
      <c r="U32" s="178">
        <f>SUM(U23:U31)</f>
        <v>231666</v>
      </c>
      <c r="V32" s="178">
        <f t="shared" si="7"/>
        <v>1571325</v>
      </c>
      <c r="W32" s="178">
        <f t="shared" si="7"/>
        <v>158354</v>
      </c>
      <c r="X32" s="178">
        <f>SUM(X23:X31)</f>
        <v>1458447</v>
      </c>
      <c r="Y32" s="178">
        <f>SUM(Y23:Y31)</f>
        <v>1591976</v>
      </c>
      <c r="Z32" s="178">
        <f t="shared" si="7"/>
        <v>1018941</v>
      </c>
      <c r="AA32" s="178">
        <f t="shared" si="7"/>
        <v>1045189</v>
      </c>
      <c r="AB32" s="178">
        <f t="shared" si="7"/>
        <v>1106282</v>
      </c>
      <c r="AC32" s="178">
        <f t="shared" si="7"/>
        <v>1411432</v>
      </c>
      <c r="AD32" s="178">
        <f>SUM(AD23:AD31)</f>
        <v>874262</v>
      </c>
      <c r="AE32" s="178">
        <f t="shared" si="7"/>
        <v>386790</v>
      </c>
      <c r="AF32" s="178">
        <f>SUM(AF23:AF31)</f>
        <v>415047</v>
      </c>
      <c r="AG32" s="178">
        <f t="shared" si="7"/>
        <v>285336</v>
      </c>
      <c r="AH32" s="178">
        <f aca="true" t="shared" si="8" ref="AH32:AQ32">SUM(AH23:AH31)</f>
        <v>20860</v>
      </c>
      <c r="AI32" s="178">
        <f t="shared" si="8"/>
        <v>150411</v>
      </c>
      <c r="AJ32" s="178">
        <f>SUM(AJ23:AJ31)</f>
        <v>124243</v>
      </c>
      <c r="AK32" s="178">
        <f t="shared" si="8"/>
        <v>180499</v>
      </c>
      <c r="AL32" s="178">
        <f t="shared" si="8"/>
        <v>92717</v>
      </c>
      <c r="AM32" s="178">
        <f t="shared" si="8"/>
        <v>112321</v>
      </c>
      <c r="AN32" s="178">
        <f t="shared" si="8"/>
        <v>41333</v>
      </c>
      <c r="AO32" s="178">
        <f t="shared" si="8"/>
        <v>46632</v>
      </c>
      <c r="AP32" s="178">
        <f t="shared" si="8"/>
        <v>31749</v>
      </c>
      <c r="AQ32" s="178">
        <f t="shared" si="8"/>
        <v>18837</v>
      </c>
      <c r="AR32" s="178">
        <f t="shared" si="7"/>
        <v>6697</v>
      </c>
      <c r="AS32" s="178">
        <f t="shared" si="7"/>
        <v>3625</v>
      </c>
      <c r="AT32" s="167"/>
      <c r="AU32" s="164">
        <f>SUM(AU23:AU31)</f>
        <v>95352766</v>
      </c>
      <c r="AV32" s="164"/>
      <c r="AW32" s="210">
        <f>SUM(AW23:AW31)</f>
        <v>16551999</v>
      </c>
      <c r="AX32" s="210">
        <f>SUM(AX23:AX31)</f>
        <v>78800767</v>
      </c>
    </row>
    <row r="33" spans="1:50" s="178" customFormat="1" ht="11.25" customHeight="1">
      <c r="A33" s="176"/>
      <c r="B33" s="176"/>
      <c r="C33" s="167"/>
      <c r="D33" s="167"/>
      <c r="G33" s="167"/>
      <c r="H33" s="167"/>
      <c r="K33" s="167"/>
      <c r="L33" s="167"/>
      <c r="M33" s="167"/>
      <c r="O33" s="167"/>
      <c r="P33" s="185"/>
      <c r="R33" s="167"/>
      <c r="T33" s="167"/>
      <c r="V33" s="167"/>
      <c r="W33" s="167"/>
      <c r="X33" s="167"/>
      <c r="Y33" s="167"/>
      <c r="Z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O33" s="167"/>
      <c r="AP33" s="167"/>
      <c r="AQ33" s="167"/>
      <c r="AR33" s="167"/>
      <c r="AS33" s="167"/>
      <c r="AT33" s="167"/>
      <c r="AU33" s="164"/>
      <c r="AV33" s="164"/>
      <c r="AW33" s="210"/>
      <c r="AX33" s="210"/>
    </row>
    <row r="34" spans="1:50" s="178" customFormat="1" ht="11.25" customHeight="1" hidden="1" outlineLevel="1">
      <c r="A34" s="176" t="s">
        <v>63</v>
      </c>
      <c r="B34" s="176"/>
      <c r="C34" s="185"/>
      <c r="D34" s="185"/>
      <c r="E34" s="185"/>
      <c r="F34" s="185"/>
      <c r="G34" s="185"/>
      <c r="H34" s="185"/>
      <c r="I34" s="185"/>
      <c r="J34" s="211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64"/>
      <c r="AV34" s="164"/>
      <c r="AW34" s="210"/>
      <c r="AX34" s="210"/>
    </row>
    <row r="35" spans="1:50" s="178" customFormat="1" ht="11.25" customHeight="1" hidden="1" outlineLevel="1">
      <c r="A35" s="174" t="s">
        <v>64</v>
      </c>
      <c r="B35" s="174"/>
      <c r="C35" s="181">
        <v>59208</v>
      </c>
      <c r="D35" s="181">
        <v>110354</v>
      </c>
      <c r="E35" s="181">
        <v>219395</v>
      </c>
      <c r="F35" s="181">
        <v>125085</v>
      </c>
      <c r="G35" s="181">
        <v>12289</v>
      </c>
      <c r="H35" s="181">
        <v>103545</v>
      </c>
      <c r="I35" s="181">
        <v>16815</v>
      </c>
      <c r="J35" s="181">
        <v>2193</v>
      </c>
      <c r="K35" s="181">
        <v>4984</v>
      </c>
      <c r="L35" s="181">
        <v>55307</v>
      </c>
      <c r="M35" s="181">
        <v>60731</v>
      </c>
      <c r="N35" s="181">
        <v>17269</v>
      </c>
      <c r="O35" s="181">
        <v>43523</v>
      </c>
      <c r="P35" s="181">
        <v>52107</v>
      </c>
      <c r="Q35" s="181">
        <v>14372</v>
      </c>
      <c r="R35" s="181">
        <v>7980</v>
      </c>
      <c r="S35" s="181">
        <v>3477</v>
      </c>
      <c r="T35" s="181">
        <v>33107</v>
      </c>
      <c r="U35" s="181">
        <v>6075</v>
      </c>
      <c r="V35" s="181">
        <v>12243</v>
      </c>
      <c r="W35" s="181">
        <v>1149</v>
      </c>
      <c r="X35" s="181">
        <v>11515</v>
      </c>
      <c r="Y35" s="181">
        <v>16095</v>
      </c>
      <c r="Z35" s="181">
        <v>15830</v>
      </c>
      <c r="AA35" s="181">
        <v>13925</v>
      </c>
      <c r="AB35" s="181">
        <v>6436</v>
      </c>
      <c r="AC35" s="181">
        <v>0</v>
      </c>
      <c r="AD35" s="181">
        <v>9111</v>
      </c>
      <c r="AE35" s="181">
        <v>8077</v>
      </c>
      <c r="AF35" s="181">
        <v>4275</v>
      </c>
      <c r="AG35" s="181">
        <v>7596</v>
      </c>
      <c r="AH35" s="181">
        <v>0</v>
      </c>
      <c r="AI35" s="181">
        <v>2427</v>
      </c>
      <c r="AJ35" s="181">
        <v>7122</v>
      </c>
      <c r="AK35" s="181">
        <v>1688</v>
      </c>
      <c r="AL35" s="181">
        <v>1000</v>
      </c>
      <c r="AM35" s="181">
        <v>227</v>
      </c>
      <c r="AN35" s="181">
        <v>0</v>
      </c>
      <c r="AO35" s="181">
        <v>546</v>
      </c>
      <c r="AP35" s="181">
        <v>1854</v>
      </c>
      <c r="AQ35" s="181">
        <v>0</v>
      </c>
      <c r="AR35" s="181">
        <v>0</v>
      </c>
      <c r="AS35" s="181">
        <v>0</v>
      </c>
      <c r="AT35" s="185"/>
      <c r="AU35" s="164">
        <f>SUM(C35:AT35)</f>
        <v>1068932</v>
      </c>
      <c r="AV35" s="164"/>
      <c r="AW35" s="209">
        <f>SUMIF($C$163:$AS$163,"já",C35:AS35)</f>
        <v>166999</v>
      </c>
      <c r="AX35" s="209">
        <f>SUMIF($C$163:$AS$163,"nei",C35:AS35)</f>
        <v>901933</v>
      </c>
    </row>
    <row r="36" spans="1:50" s="178" customFormat="1" ht="11.25" customHeight="1" hidden="1" outlineLevel="1">
      <c r="A36" s="174" t="s">
        <v>65</v>
      </c>
      <c r="B36" s="174"/>
      <c r="C36" s="181">
        <v>0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2115</v>
      </c>
      <c r="J36" s="181">
        <v>809</v>
      </c>
      <c r="K36" s="181">
        <v>1477</v>
      </c>
      <c r="L36" s="181">
        <v>0</v>
      </c>
      <c r="M36" s="181">
        <v>0</v>
      </c>
      <c r="N36" s="181">
        <v>0</v>
      </c>
      <c r="O36" s="181">
        <v>3439</v>
      </c>
      <c r="P36" s="181">
        <v>0</v>
      </c>
      <c r="Q36" s="181">
        <v>0</v>
      </c>
      <c r="R36" s="181">
        <v>0</v>
      </c>
      <c r="S36" s="181">
        <v>0</v>
      </c>
      <c r="T36" s="181">
        <v>0</v>
      </c>
      <c r="U36" s="181">
        <v>780</v>
      </c>
      <c r="V36" s="181">
        <v>0</v>
      </c>
      <c r="W36" s="181">
        <v>0</v>
      </c>
      <c r="X36" s="181">
        <v>213</v>
      </c>
      <c r="Y36" s="181">
        <v>0</v>
      </c>
      <c r="Z36" s="181">
        <v>0</v>
      </c>
      <c r="AA36" s="181">
        <v>111</v>
      </c>
      <c r="AB36" s="181">
        <v>285</v>
      </c>
      <c r="AC36" s="181">
        <v>0</v>
      </c>
      <c r="AD36" s="181">
        <v>245</v>
      </c>
      <c r="AE36" s="181">
        <v>0</v>
      </c>
      <c r="AF36" s="181">
        <v>0</v>
      </c>
      <c r="AG36" s="181">
        <v>0</v>
      </c>
      <c r="AH36" s="181">
        <v>30</v>
      </c>
      <c r="AI36" s="181">
        <v>0</v>
      </c>
      <c r="AJ36" s="181">
        <v>0</v>
      </c>
      <c r="AK36" s="181">
        <v>0</v>
      </c>
      <c r="AL36" s="181">
        <v>10</v>
      </c>
      <c r="AM36" s="181">
        <v>0</v>
      </c>
      <c r="AN36" s="181">
        <v>0</v>
      </c>
      <c r="AO36" s="181">
        <v>0</v>
      </c>
      <c r="AP36" s="181">
        <v>0</v>
      </c>
      <c r="AQ36" s="181">
        <v>108</v>
      </c>
      <c r="AR36" s="181">
        <v>1934</v>
      </c>
      <c r="AS36" s="181">
        <v>8</v>
      </c>
      <c r="AT36" s="185"/>
      <c r="AU36" s="164">
        <f>SUM(C36:AT36)</f>
        <v>11564</v>
      </c>
      <c r="AV36" s="164"/>
      <c r="AW36" s="209">
        <f>SUMIF($C$163:$AS$163,"já",C36:AS36)</f>
        <v>2060</v>
      </c>
      <c r="AX36" s="209">
        <f>SUMIF($C$163:$AS$163,"nei",C36:AS36)</f>
        <v>9504</v>
      </c>
    </row>
    <row r="37" spans="1:50" s="178" customFormat="1" ht="11.25" customHeight="1" hidden="1" outlineLevel="1">
      <c r="A37" s="174" t="s">
        <v>66</v>
      </c>
      <c r="B37" s="174"/>
      <c r="C37" s="181">
        <v>0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0</v>
      </c>
      <c r="V37" s="181">
        <v>0</v>
      </c>
      <c r="W37" s="181">
        <v>0</v>
      </c>
      <c r="X37" s="181">
        <v>0</v>
      </c>
      <c r="Y37" s="181">
        <v>0</v>
      </c>
      <c r="Z37" s="181">
        <v>0</v>
      </c>
      <c r="AA37" s="181">
        <v>0</v>
      </c>
      <c r="AB37" s="181">
        <v>0</v>
      </c>
      <c r="AC37" s="181">
        <v>0</v>
      </c>
      <c r="AD37" s="181">
        <v>0</v>
      </c>
      <c r="AE37" s="181">
        <v>0</v>
      </c>
      <c r="AF37" s="181">
        <v>0</v>
      </c>
      <c r="AG37" s="181">
        <v>0</v>
      </c>
      <c r="AH37" s="181">
        <v>0</v>
      </c>
      <c r="AI37" s="181">
        <v>14676</v>
      </c>
      <c r="AJ37" s="181">
        <v>0</v>
      </c>
      <c r="AK37" s="181">
        <v>0</v>
      </c>
      <c r="AL37" s="181">
        <v>0</v>
      </c>
      <c r="AM37" s="181">
        <v>0</v>
      </c>
      <c r="AN37" s="181">
        <v>0</v>
      </c>
      <c r="AO37" s="181">
        <v>0</v>
      </c>
      <c r="AP37" s="181">
        <v>0</v>
      </c>
      <c r="AQ37" s="181">
        <v>4</v>
      </c>
      <c r="AR37" s="181">
        <v>0</v>
      </c>
      <c r="AS37" s="181">
        <v>0</v>
      </c>
      <c r="AT37" s="185"/>
      <c r="AU37" s="164">
        <f>SUM(C37:AT37)</f>
        <v>14680</v>
      </c>
      <c r="AV37" s="164"/>
      <c r="AW37" s="209">
        <f>SUMIF($C$163:$AS$163,"já",C37:AS37)</f>
        <v>14680</v>
      </c>
      <c r="AX37" s="209">
        <f>SUMIF($C$163:$AS$163,"nei",C37:AS37)</f>
        <v>0</v>
      </c>
    </row>
    <row r="38" spans="1:50" s="178" customFormat="1" ht="11.25" customHeight="1" hidden="1" outlineLevel="1">
      <c r="A38" s="174" t="s">
        <v>67</v>
      </c>
      <c r="B38" s="174"/>
      <c r="C38" s="181">
        <v>0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0</v>
      </c>
      <c r="U38" s="181">
        <v>0</v>
      </c>
      <c r="V38" s="181">
        <v>0</v>
      </c>
      <c r="W38" s="181">
        <v>0</v>
      </c>
      <c r="X38" s="181">
        <v>0</v>
      </c>
      <c r="Y38" s="181">
        <v>0</v>
      </c>
      <c r="Z38" s="181">
        <v>0</v>
      </c>
      <c r="AA38" s="181">
        <v>0</v>
      </c>
      <c r="AB38" s="181">
        <v>0</v>
      </c>
      <c r="AC38" s="181">
        <v>0</v>
      </c>
      <c r="AD38" s="181">
        <v>0</v>
      </c>
      <c r="AE38" s="181">
        <v>0</v>
      </c>
      <c r="AF38" s="181">
        <v>0</v>
      </c>
      <c r="AG38" s="181">
        <v>0</v>
      </c>
      <c r="AH38" s="181">
        <v>0</v>
      </c>
      <c r="AI38" s="181">
        <v>6932</v>
      </c>
      <c r="AJ38" s="181">
        <v>0</v>
      </c>
      <c r="AK38" s="181">
        <v>0</v>
      </c>
      <c r="AL38" s="181">
        <v>0</v>
      </c>
      <c r="AM38" s="181">
        <v>0</v>
      </c>
      <c r="AN38" s="181">
        <v>0</v>
      </c>
      <c r="AO38" s="181">
        <v>0</v>
      </c>
      <c r="AP38" s="181">
        <v>0</v>
      </c>
      <c r="AQ38" s="181">
        <v>0</v>
      </c>
      <c r="AR38" s="181">
        <v>38</v>
      </c>
      <c r="AS38" s="181">
        <v>0</v>
      </c>
      <c r="AT38" s="185"/>
      <c r="AU38" s="164">
        <f>SUM(C38:AT38)</f>
        <v>6970</v>
      </c>
      <c r="AV38" s="164"/>
      <c r="AW38" s="209">
        <f>SUMIF($C$163:$AS$163,"já",C38:AS38)</f>
        <v>6970</v>
      </c>
      <c r="AX38" s="209">
        <f>SUMIF($C$163:$AS$163,"nei",C38:AS38)</f>
        <v>0</v>
      </c>
    </row>
    <row r="39" spans="1:50" s="178" customFormat="1" ht="11.25" customHeight="1" hidden="1" outlineLevel="1">
      <c r="A39" s="174" t="s">
        <v>68</v>
      </c>
      <c r="B39" s="174"/>
      <c r="C39" s="181">
        <v>114258</v>
      </c>
      <c r="D39" s="181">
        <v>206967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19450</v>
      </c>
      <c r="O39" s="181">
        <v>0</v>
      </c>
      <c r="P39" s="181">
        <v>14149</v>
      </c>
      <c r="Q39" s="181">
        <v>0</v>
      </c>
      <c r="R39" s="181">
        <v>45042</v>
      </c>
      <c r="S39" s="181">
        <v>43444</v>
      </c>
      <c r="T39" s="181">
        <v>74399</v>
      </c>
      <c r="U39" s="181">
        <v>0</v>
      </c>
      <c r="V39" s="181">
        <v>5611</v>
      </c>
      <c r="W39" s="181">
        <v>527</v>
      </c>
      <c r="X39" s="181">
        <v>0</v>
      </c>
      <c r="Y39" s="181">
        <v>8665</v>
      </c>
      <c r="Z39" s="181">
        <v>27052</v>
      </c>
      <c r="AA39" s="181">
        <v>14110</v>
      </c>
      <c r="AB39" s="181">
        <v>13126</v>
      </c>
      <c r="AC39" s="181">
        <v>0</v>
      </c>
      <c r="AD39" s="181">
        <v>2511</v>
      </c>
      <c r="AE39" s="181">
        <v>0</v>
      </c>
      <c r="AF39" s="181">
        <v>0</v>
      </c>
      <c r="AG39" s="181">
        <v>1012</v>
      </c>
      <c r="AH39" s="181">
        <v>1279</v>
      </c>
      <c r="AI39" s="181">
        <v>0</v>
      </c>
      <c r="AJ39" s="181">
        <v>0</v>
      </c>
      <c r="AK39" s="181">
        <v>38</v>
      </c>
      <c r="AL39" s="181">
        <v>5704</v>
      </c>
      <c r="AM39" s="181">
        <v>0</v>
      </c>
      <c r="AN39" s="181">
        <v>0</v>
      </c>
      <c r="AO39" s="181">
        <v>0</v>
      </c>
      <c r="AP39" s="181">
        <v>0</v>
      </c>
      <c r="AQ39" s="181">
        <v>0</v>
      </c>
      <c r="AR39" s="181">
        <v>0</v>
      </c>
      <c r="AS39" s="181">
        <v>0</v>
      </c>
      <c r="AU39" s="164">
        <f>SUM(C39:AT39)</f>
        <v>597344</v>
      </c>
      <c r="AW39" s="209">
        <f>SUMIF($C$163:$AS$163,"já",C39:AS39)</f>
        <v>239761</v>
      </c>
      <c r="AX39" s="209">
        <f>SUMIF($C$163:$AS$163,"nei",C39:AS39)</f>
        <v>357583</v>
      </c>
    </row>
    <row r="40" spans="1:50" s="178" customFormat="1" ht="11.25" customHeight="1" collapsed="1">
      <c r="A40" s="176" t="s">
        <v>69</v>
      </c>
      <c r="B40" s="176"/>
      <c r="C40" s="185">
        <f>SUM(C35:C39)</f>
        <v>173466</v>
      </c>
      <c r="D40" s="185">
        <f aca="true" t="shared" si="9" ref="D40:AS40">SUM(D35:D39)</f>
        <v>317321</v>
      </c>
      <c r="E40" s="185">
        <f t="shared" si="9"/>
        <v>219395</v>
      </c>
      <c r="F40" s="185">
        <f t="shared" si="9"/>
        <v>125085</v>
      </c>
      <c r="G40" s="185">
        <f t="shared" si="9"/>
        <v>12289</v>
      </c>
      <c r="H40" s="185">
        <f t="shared" si="9"/>
        <v>103545</v>
      </c>
      <c r="I40" s="185">
        <f t="shared" si="9"/>
        <v>18930</v>
      </c>
      <c r="J40" s="185">
        <f t="shared" si="9"/>
        <v>3002</v>
      </c>
      <c r="K40" s="185">
        <f t="shared" si="9"/>
        <v>6461</v>
      </c>
      <c r="L40" s="185">
        <f>SUM(L35:L39)</f>
        <v>55307</v>
      </c>
      <c r="M40" s="185">
        <f t="shared" si="9"/>
        <v>60731</v>
      </c>
      <c r="N40" s="185">
        <f t="shared" si="9"/>
        <v>36719</v>
      </c>
      <c r="O40" s="185">
        <f t="shared" si="9"/>
        <v>46962</v>
      </c>
      <c r="P40" s="185">
        <f t="shared" si="9"/>
        <v>66256</v>
      </c>
      <c r="Q40" s="185">
        <f>SUM(Q35:Q39)</f>
        <v>14372</v>
      </c>
      <c r="R40" s="185">
        <f t="shared" si="9"/>
        <v>53022</v>
      </c>
      <c r="S40" s="185">
        <f t="shared" si="9"/>
        <v>46921</v>
      </c>
      <c r="T40" s="185">
        <f t="shared" si="9"/>
        <v>107506</v>
      </c>
      <c r="U40" s="185">
        <f>SUM(U35:U39)</f>
        <v>6855</v>
      </c>
      <c r="V40" s="185">
        <f t="shared" si="9"/>
        <v>17854</v>
      </c>
      <c r="W40" s="185">
        <f t="shared" si="9"/>
        <v>1676</v>
      </c>
      <c r="X40" s="185">
        <f>SUM(X35:X39)</f>
        <v>11728</v>
      </c>
      <c r="Y40" s="185">
        <f>SUM(Y35:Y39)</f>
        <v>24760</v>
      </c>
      <c r="Z40" s="185">
        <f t="shared" si="9"/>
        <v>42882</v>
      </c>
      <c r="AA40" s="185">
        <f t="shared" si="9"/>
        <v>28146</v>
      </c>
      <c r="AB40" s="185">
        <f t="shared" si="9"/>
        <v>19847</v>
      </c>
      <c r="AC40" s="185">
        <f t="shared" si="9"/>
        <v>0</v>
      </c>
      <c r="AD40" s="185">
        <f>SUM(AD35:AD39)</f>
        <v>11867</v>
      </c>
      <c r="AE40" s="185">
        <f t="shared" si="9"/>
        <v>8077</v>
      </c>
      <c r="AF40" s="185">
        <f>SUM(AF35:AF39)</f>
        <v>4275</v>
      </c>
      <c r="AG40" s="185">
        <f t="shared" si="9"/>
        <v>8608</v>
      </c>
      <c r="AH40" s="185">
        <f aca="true" t="shared" si="10" ref="AH40:AQ40">SUM(AH35:AH39)</f>
        <v>1309</v>
      </c>
      <c r="AI40" s="185">
        <f t="shared" si="10"/>
        <v>24035</v>
      </c>
      <c r="AJ40" s="185">
        <f>SUM(AJ35:AJ39)</f>
        <v>7122</v>
      </c>
      <c r="AK40" s="185">
        <f t="shared" si="10"/>
        <v>1726</v>
      </c>
      <c r="AL40" s="185">
        <f t="shared" si="10"/>
        <v>6714</v>
      </c>
      <c r="AM40" s="185">
        <f t="shared" si="10"/>
        <v>227</v>
      </c>
      <c r="AN40" s="185">
        <f t="shared" si="10"/>
        <v>0</v>
      </c>
      <c r="AO40" s="185">
        <f t="shared" si="10"/>
        <v>546</v>
      </c>
      <c r="AP40" s="185">
        <f t="shared" si="10"/>
        <v>1854</v>
      </c>
      <c r="AQ40" s="185">
        <f t="shared" si="10"/>
        <v>112</v>
      </c>
      <c r="AR40" s="185">
        <f t="shared" si="9"/>
        <v>1972</v>
      </c>
      <c r="AS40" s="185">
        <f t="shared" si="9"/>
        <v>8</v>
      </c>
      <c r="AT40" s="167"/>
      <c r="AU40" s="164">
        <f>SUM(AU35:AU39)</f>
        <v>1699490</v>
      </c>
      <c r="AV40" s="164"/>
      <c r="AW40" s="210">
        <f>SUM(AW35:AW39)</f>
        <v>430470</v>
      </c>
      <c r="AX40" s="210">
        <f>SUM(AX35:AX39)</f>
        <v>1269020</v>
      </c>
    </row>
    <row r="41" spans="1:50" s="178" customFormat="1" ht="11.25" customHeight="1">
      <c r="A41" s="176"/>
      <c r="B41" s="176"/>
      <c r="C41" s="167"/>
      <c r="D41" s="167"/>
      <c r="G41" s="167"/>
      <c r="H41" s="167"/>
      <c r="K41" s="167"/>
      <c r="L41" s="167"/>
      <c r="M41" s="167"/>
      <c r="O41" s="167"/>
      <c r="P41" s="185"/>
      <c r="R41" s="167"/>
      <c r="T41" s="167"/>
      <c r="V41" s="167"/>
      <c r="W41" s="167"/>
      <c r="X41" s="167"/>
      <c r="Y41" s="167"/>
      <c r="Z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O41" s="167"/>
      <c r="AP41" s="167"/>
      <c r="AQ41" s="167"/>
      <c r="AR41" s="167"/>
      <c r="AS41" s="167"/>
      <c r="AT41" s="167"/>
      <c r="AU41" s="164"/>
      <c r="AV41" s="164"/>
      <c r="AW41" s="210"/>
      <c r="AX41" s="210"/>
    </row>
    <row r="42" spans="1:50" s="178" customFormat="1" ht="11.25" customHeight="1" hidden="1" outlineLevel="1">
      <c r="A42" s="176" t="s">
        <v>70</v>
      </c>
      <c r="B42" s="176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64"/>
      <c r="AV42" s="164"/>
      <c r="AW42" s="210"/>
      <c r="AX42" s="210"/>
    </row>
    <row r="43" spans="1:50" s="178" customFormat="1" ht="11.25" customHeight="1" hidden="1" outlineLevel="1">
      <c r="A43" s="174" t="s">
        <v>64</v>
      </c>
      <c r="B43" s="174"/>
      <c r="C43" s="181">
        <v>52123</v>
      </c>
      <c r="D43" s="181">
        <v>191888</v>
      </c>
      <c r="E43" s="181">
        <v>201547</v>
      </c>
      <c r="F43" s="181">
        <v>232300</v>
      </c>
      <c r="G43" s="181">
        <v>11817</v>
      </c>
      <c r="H43" s="181">
        <v>103796</v>
      </c>
      <c r="I43" s="181">
        <v>23028</v>
      </c>
      <c r="J43" s="181">
        <v>4103</v>
      </c>
      <c r="K43" s="181">
        <v>7608</v>
      </c>
      <c r="L43" s="181">
        <v>48611</v>
      </c>
      <c r="M43" s="181">
        <v>68857</v>
      </c>
      <c r="N43" s="181">
        <v>17818</v>
      </c>
      <c r="O43" s="181">
        <v>86856</v>
      </c>
      <c r="P43" s="181">
        <v>73332</v>
      </c>
      <c r="Q43" s="181">
        <v>43116</v>
      </c>
      <c r="R43" s="181">
        <v>11934</v>
      </c>
      <c r="S43" s="181">
        <v>16847</v>
      </c>
      <c r="T43" s="181">
        <v>43741</v>
      </c>
      <c r="U43" s="181">
        <v>18892</v>
      </c>
      <c r="V43" s="181">
        <v>48698</v>
      </c>
      <c r="W43" s="181">
        <v>4572</v>
      </c>
      <c r="X43" s="181">
        <v>55050</v>
      </c>
      <c r="Y43" s="181">
        <v>28241</v>
      </c>
      <c r="Z43" s="181">
        <v>21765</v>
      </c>
      <c r="AA43" s="181">
        <v>30354</v>
      </c>
      <c r="AB43" s="181">
        <v>10559</v>
      </c>
      <c r="AC43" s="181">
        <v>3630</v>
      </c>
      <c r="AD43" s="181">
        <v>4487</v>
      </c>
      <c r="AE43" s="181">
        <v>2830</v>
      </c>
      <c r="AF43" s="181">
        <v>11170</v>
      </c>
      <c r="AG43" s="181">
        <v>6215</v>
      </c>
      <c r="AH43" s="181">
        <v>0</v>
      </c>
      <c r="AI43" s="181">
        <v>3057</v>
      </c>
      <c r="AJ43" s="181">
        <v>21340</v>
      </c>
      <c r="AK43" s="181">
        <v>5063</v>
      </c>
      <c r="AL43" s="181">
        <v>5211</v>
      </c>
      <c r="AM43" s="181">
        <v>692</v>
      </c>
      <c r="AN43" s="181">
        <v>3210</v>
      </c>
      <c r="AO43" s="181">
        <v>909</v>
      </c>
      <c r="AP43" s="181">
        <v>1854</v>
      </c>
      <c r="AQ43" s="181">
        <v>510</v>
      </c>
      <c r="AR43" s="181">
        <v>1137</v>
      </c>
      <c r="AS43" s="181">
        <v>683</v>
      </c>
      <c r="AT43" s="185"/>
      <c r="AU43" s="164">
        <f>SUM(C43:AT43)</f>
        <v>1529451</v>
      </c>
      <c r="AV43" s="164"/>
      <c r="AW43" s="209">
        <f>SUMIF($C$163:$AS$163,"já",C43:AS43)</f>
        <v>312834</v>
      </c>
      <c r="AX43" s="209">
        <f>SUMIF($C$163:$AS$163,"nei",C43:AS43)</f>
        <v>1216617</v>
      </c>
    </row>
    <row r="44" spans="1:50" s="178" customFormat="1" ht="11.25" customHeight="1" hidden="1" outlineLevel="1">
      <c r="A44" s="174" t="s">
        <v>71</v>
      </c>
      <c r="B44" s="174"/>
      <c r="C44" s="181">
        <v>4276</v>
      </c>
      <c r="D44" s="181">
        <v>4276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57390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1">
        <v>0</v>
      </c>
      <c r="W44" s="181">
        <v>0</v>
      </c>
      <c r="X44" s="181">
        <v>0</v>
      </c>
      <c r="Y44" s="181">
        <v>0</v>
      </c>
      <c r="Z44" s="181">
        <v>950</v>
      </c>
      <c r="AA44" s="181">
        <v>6135</v>
      </c>
      <c r="AB44" s="181">
        <v>0</v>
      </c>
      <c r="AC44" s="181">
        <v>0</v>
      </c>
      <c r="AD44" s="181">
        <v>0</v>
      </c>
      <c r="AE44" s="181">
        <v>5849</v>
      </c>
      <c r="AF44" s="181">
        <v>0</v>
      </c>
      <c r="AG44" s="181">
        <v>0</v>
      </c>
      <c r="AH44" s="181">
        <v>0</v>
      </c>
      <c r="AI44" s="181">
        <v>3969</v>
      </c>
      <c r="AJ44" s="181">
        <v>0</v>
      </c>
      <c r="AK44" s="181">
        <v>0</v>
      </c>
      <c r="AL44" s="181">
        <v>0</v>
      </c>
      <c r="AM44" s="181">
        <v>2167</v>
      </c>
      <c r="AN44" s="181">
        <v>0</v>
      </c>
      <c r="AO44" s="181">
        <v>0</v>
      </c>
      <c r="AP44" s="181">
        <v>0</v>
      </c>
      <c r="AQ44" s="181">
        <v>0</v>
      </c>
      <c r="AR44" s="181">
        <v>732</v>
      </c>
      <c r="AS44" s="181">
        <v>2574</v>
      </c>
      <c r="AU44" s="164">
        <f>SUM(C44:AT44)</f>
        <v>88318</v>
      </c>
      <c r="AV44" s="164"/>
      <c r="AW44" s="209">
        <f>SUMIF($C$163:$AS$163,"já",C44:AS44)</f>
        <v>18350</v>
      </c>
      <c r="AX44" s="209">
        <f>SUMIF($C$163:$AS$163,"nei",C44:AS44)</f>
        <v>69968</v>
      </c>
    </row>
    <row r="45" spans="1:50" s="178" customFormat="1" ht="11.25" customHeight="1" collapsed="1">
      <c r="A45" s="176" t="s">
        <v>70</v>
      </c>
      <c r="B45" s="176"/>
      <c r="C45" s="178">
        <f>SUM(C43:C44)</f>
        <v>56399</v>
      </c>
      <c r="D45" s="178">
        <f aca="true" t="shared" si="11" ref="D45:AS45">SUM(D43:D44)</f>
        <v>196164</v>
      </c>
      <c r="E45" s="178">
        <f t="shared" si="11"/>
        <v>201547</v>
      </c>
      <c r="F45" s="178">
        <f t="shared" si="11"/>
        <v>232300</v>
      </c>
      <c r="G45" s="178">
        <f t="shared" si="11"/>
        <v>11817</v>
      </c>
      <c r="H45" s="178">
        <f t="shared" si="11"/>
        <v>103796</v>
      </c>
      <c r="I45" s="178">
        <f t="shared" si="11"/>
        <v>23028</v>
      </c>
      <c r="J45" s="178">
        <f t="shared" si="11"/>
        <v>4103</v>
      </c>
      <c r="K45" s="178">
        <f t="shared" si="11"/>
        <v>7608</v>
      </c>
      <c r="L45" s="178">
        <f>SUM(L43:L44)</f>
        <v>106001</v>
      </c>
      <c r="M45" s="178">
        <f t="shared" si="11"/>
        <v>68857</v>
      </c>
      <c r="N45" s="178">
        <f t="shared" si="11"/>
        <v>17818</v>
      </c>
      <c r="O45" s="178">
        <f t="shared" si="11"/>
        <v>86856</v>
      </c>
      <c r="P45" s="178">
        <f t="shared" si="11"/>
        <v>73332</v>
      </c>
      <c r="Q45" s="178">
        <f>SUM(Q43:Q44)</f>
        <v>43116</v>
      </c>
      <c r="R45" s="178">
        <f t="shared" si="11"/>
        <v>11934</v>
      </c>
      <c r="S45" s="178">
        <f t="shared" si="11"/>
        <v>16847</v>
      </c>
      <c r="T45" s="178">
        <f t="shared" si="11"/>
        <v>43741</v>
      </c>
      <c r="U45" s="178">
        <f>SUM(U43:U44)</f>
        <v>18892</v>
      </c>
      <c r="V45" s="178">
        <f t="shared" si="11"/>
        <v>48698</v>
      </c>
      <c r="W45" s="178">
        <f t="shared" si="11"/>
        <v>4572</v>
      </c>
      <c r="X45" s="178">
        <f>SUM(X43:X44)</f>
        <v>55050</v>
      </c>
      <c r="Y45" s="178">
        <f>SUM(Y43:Y44)</f>
        <v>28241</v>
      </c>
      <c r="Z45" s="178">
        <f t="shared" si="11"/>
        <v>22715</v>
      </c>
      <c r="AA45" s="178">
        <f t="shared" si="11"/>
        <v>36489</v>
      </c>
      <c r="AB45" s="178">
        <f t="shared" si="11"/>
        <v>10559</v>
      </c>
      <c r="AC45" s="178">
        <f t="shared" si="11"/>
        <v>3630</v>
      </c>
      <c r="AD45" s="178">
        <f>SUM(AD43:AD44)</f>
        <v>4487</v>
      </c>
      <c r="AE45" s="178">
        <f t="shared" si="11"/>
        <v>8679</v>
      </c>
      <c r="AF45" s="178">
        <f>SUM(AF43:AF44)</f>
        <v>11170</v>
      </c>
      <c r="AG45" s="178">
        <f t="shared" si="11"/>
        <v>6215</v>
      </c>
      <c r="AH45" s="178">
        <f aca="true" t="shared" si="12" ref="AH45:AQ45">SUM(AH43:AH44)</f>
        <v>0</v>
      </c>
      <c r="AI45" s="178">
        <f t="shared" si="12"/>
        <v>7026</v>
      </c>
      <c r="AJ45" s="178">
        <f>SUM(AJ43:AJ44)</f>
        <v>21340</v>
      </c>
      <c r="AK45" s="178">
        <f t="shared" si="12"/>
        <v>5063</v>
      </c>
      <c r="AL45" s="178">
        <f t="shared" si="12"/>
        <v>5211</v>
      </c>
      <c r="AM45" s="178">
        <f t="shared" si="12"/>
        <v>2859</v>
      </c>
      <c r="AN45" s="178">
        <f t="shared" si="12"/>
        <v>3210</v>
      </c>
      <c r="AO45" s="178">
        <f t="shared" si="12"/>
        <v>909</v>
      </c>
      <c r="AP45" s="178">
        <f t="shared" si="12"/>
        <v>1854</v>
      </c>
      <c r="AQ45" s="178">
        <f t="shared" si="12"/>
        <v>510</v>
      </c>
      <c r="AR45" s="178">
        <f t="shared" si="11"/>
        <v>1869</v>
      </c>
      <c r="AS45" s="178">
        <f t="shared" si="11"/>
        <v>3257</v>
      </c>
      <c r="AT45" s="167"/>
      <c r="AU45" s="164">
        <f>SUM(AU43:AU44)</f>
        <v>1617769</v>
      </c>
      <c r="AV45" s="164"/>
      <c r="AW45" s="210">
        <f>SUM(AW43:AW44)</f>
        <v>331184</v>
      </c>
      <c r="AX45" s="210">
        <f>SUM(AX43:AX44)</f>
        <v>1286585</v>
      </c>
    </row>
    <row r="46" spans="1:50" s="178" customFormat="1" ht="11.25" customHeight="1">
      <c r="A46" s="174"/>
      <c r="B46" s="17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85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212"/>
      <c r="AQ46" s="212"/>
      <c r="AR46" s="164"/>
      <c r="AS46" s="164"/>
      <c r="AT46" s="164"/>
      <c r="AU46" s="164"/>
      <c r="AV46" s="164"/>
      <c r="AW46" s="210"/>
      <c r="AX46" s="210"/>
    </row>
    <row r="47" spans="1:50" s="178" customFormat="1" ht="11.25" customHeight="1">
      <c r="A47" s="176" t="s">
        <v>72</v>
      </c>
      <c r="B47" s="176"/>
      <c r="C47" s="181">
        <v>0</v>
      </c>
      <c r="D47" s="181">
        <v>0</v>
      </c>
      <c r="E47" s="181">
        <v>70016</v>
      </c>
      <c r="F47" s="181">
        <v>95782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19994</v>
      </c>
      <c r="P47" s="181">
        <v>8853</v>
      </c>
      <c r="Q47" s="181">
        <v>0</v>
      </c>
      <c r="R47" s="181">
        <v>0</v>
      </c>
      <c r="S47" s="181">
        <v>0</v>
      </c>
      <c r="T47" s="181">
        <v>0</v>
      </c>
      <c r="U47" s="181">
        <v>0</v>
      </c>
      <c r="V47" s="181">
        <v>0</v>
      </c>
      <c r="W47" s="181">
        <v>0</v>
      </c>
      <c r="X47" s="181">
        <v>9600</v>
      </c>
      <c r="Y47" s="181">
        <v>0</v>
      </c>
      <c r="Z47" s="181">
        <v>0</v>
      </c>
      <c r="AA47" s="181">
        <v>0</v>
      </c>
      <c r="AB47" s="181">
        <v>0</v>
      </c>
      <c r="AC47" s="181">
        <v>0</v>
      </c>
      <c r="AD47" s="181">
        <v>0</v>
      </c>
      <c r="AE47" s="181">
        <v>0</v>
      </c>
      <c r="AF47" s="181">
        <v>0</v>
      </c>
      <c r="AG47" s="181">
        <v>2350</v>
      </c>
      <c r="AH47" s="181">
        <v>0</v>
      </c>
      <c r="AI47" s="181">
        <v>9453</v>
      </c>
      <c r="AJ47" s="181">
        <v>0</v>
      </c>
      <c r="AK47" s="181">
        <v>0</v>
      </c>
      <c r="AL47" s="181">
        <v>0</v>
      </c>
      <c r="AM47" s="181">
        <v>0</v>
      </c>
      <c r="AN47" s="181">
        <v>0</v>
      </c>
      <c r="AO47" s="181">
        <v>0</v>
      </c>
      <c r="AP47" s="181">
        <v>0</v>
      </c>
      <c r="AQ47" s="181">
        <v>0</v>
      </c>
      <c r="AR47" s="181">
        <v>0</v>
      </c>
      <c r="AS47" s="181">
        <v>0</v>
      </c>
      <c r="AU47" s="164">
        <f>SUM(C47:AT47)</f>
        <v>216048</v>
      </c>
      <c r="AW47" s="209">
        <f>SUMIF($C$163:$AS$163,"já",C47:AS47)</f>
        <v>9453</v>
      </c>
      <c r="AX47" s="209">
        <f>SUMIF($C$163:$AS$163,"nei",C47:AS47)</f>
        <v>206595</v>
      </c>
    </row>
    <row r="48" spans="1:50" s="178" customFormat="1" ht="8.25" customHeight="1">
      <c r="A48" s="174"/>
      <c r="B48" s="17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210"/>
      <c r="AX48" s="210"/>
    </row>
    <row r="49" spans="1:50" s="178" customFormat="1" ht="11.25" customHeight="1">
      <c r="A49" s="176" t="s">
        <v>73</v>
      </c>
      <c r="B49" s="176"/>
      <c r="C49" s="181">
        <v>0</v>
      </c>
      <c r="D49" s="181">
        <v>0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  <c r="K49" s="181">
        <v>0</v>
      </c>
      <c r="L49" s="181">
        <v>0</v>
      </c>
      <c r="M49" s="181">
        <v>0</v>
      </c>
      <c r="N49" s="181">
        <v>0</v>
      </c>
      <c r="O49" s="181">
        <v>0</v>
      </c>
      <c r="P49" s="181">
        <v>0</v>
      </c>
      <c r="Q49" s="181">
        <v>0</v>
      </c>
      <c r="R49" s="181">
        <v>0</v>
      </c>
      <c r="S49" s="181">
        <v>0</v>
      </c>
      <c r="T49" s="181">
        <v>0</v>
      </c>
      <c r="U49" s="181">
        <v>0</v>
      </c>
      <c r="V49" s="181">
        <v>0</v>
      </c>
      <c r="W49" s="181">
        <v>0</v>
      </c>
      <c r="X49" s="181">
        <v>0</v>
      </c>
      <c r="Y49" s="181">
        <v>0</v>
      </c>
      <c r="Z49" s="181">
        <v>0</v>
      </c>
      <c r="AA49" s="181">
        <v>0</v>
      </c>
      <c r="AB49" s="181">
        <v>0</v>
      </c>
      <c r="AC49" s="181">
        <v>0</v>
      </c>
      <c r="AD49" s="181">
        <v>0</v>
      </c>
      <c r="AE49" s="181">
        <v>0</v>
      </c>
      <c r="AF49" s="181">
        <v>0</v>
      </c>
      <c r="AG49" s="181">
        <v>0</v>
      </c>
      <c r="AH49" s="181">
        <v>0</v>
      </c>
      <c r="AI49" s="181">
        <v>0</v>
      </c>
      <c r="AJ49" s="181">
        <v>0</v>
      </c>
      <c r="AK49" s="181">
        <v>0</v>
      </c>
      <c r="AL49" s="181">
        <v>0</v>
      </c>
      <c r="AM49" s="181">
        <v>0</v>
      </c>
      <c r="AN49" s="181">
        <v>0</v>
      </c>
      <c r="AO49" s="181">
        <v>0</v>
      </c>
      <c r="AP49" s="181">
        <v>0</v>
      </c>
      <c r="AQ49" s="181">
        <v>0</v>
      </c>
      <c r="AR49" s="181">
        <v>0</v>
      </c>
      <c r="AS49" s="181">
        <v>0</v>
      </c>
      <c r="AU49" s="164">
        <f>SUM(C49:AT49)</f>
        <v>0</v>
      </c>
      <c r="AW49" s="209">
        <f>SUMIF($C$163:$AS$163,"já",C49:AS49)</f>
        <v>0</v>
      </c>
      <c r="AX49" s="209">
        <f>SUMIF($C$163:$AS$163,"nei",C49:AS49)</f>
        <v>0</v>
      </c>
    </row>
    <row r="50" spans="1:50" s="178" customFormat="1" ht="11.25" customHeight="1">
      <c r="A50" s="174"/>
      <c r="B50" s="174"/>
      <c r="C50" s="167"/>
      <c r="D50" s="167"/>
      <c r="G50" s="167"/>
      <c r="H50" s="167"/>
      <c r="K50" s="167"/>
      <c r="L50" s="167"/>
      <c r="M50" s="167"/>
      <c r="O50" s="167"/>
      <c r="P50" s="185"/>
      <c r="R50" s="167"/>
      <c r="T50" s="167"/>
      <c r="V50" s="167"/>
      <c r="W50" s="167"/>
      <c r="X50" s="167"/>
      <c r="Y50" s="167"/>
      <c r="Z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O50" s="167"/>
      <c r="AP50" s="167"/>
      <c r="AQ50" s="167"/>
      <c r="AR50" s="167"/>
      <c r="AS50" s="167"/>
      <c r="AT50" s="167"/>
      <c r="AU50" s="164"/>
      <c r="AV50" s="164"/>
      <c r="AW50" s="210"/>
      <c r="AX50" s="210"/>
    </row>
    <row r="51" spans="1:50" s="178" customFormat="1" ht="11.25" customHeight="1">
      <c r="A51" s="176" t="s">
        <v>74</v>
      </c>
      <c r="B51" s="176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64"/>
      <c r="AU51" s="164"/>
      <c r="AV51" s="164"/>
      <c r="AW51" s="210"/>
      <c r="AX51" s="210"/>
    </row>
    <row r="52" spans="1:50" s="178" customFormat="1" ht="11.25" customHeight="1">
      <c r="A52" s="176" t="s">
        <v>75</v>
      </c>
      <c r="B52" s="176"/>
      <c r="C52" s="178">
        <f>+C13-C20+C32-C40-C45+C47-C49</f>
        <v>16063245</v>
      </c>
      <c r="D52" s="178">
        <f aca="true" t="shared" si="13" ref="D52:AS52">+D13-D20+D32-D40-D45+D47-D49</f>
        <v>17612449</v>
      </c>
      <c r="E52" s="178">
        <f t="shared" si="13"/>
        <v>27839344</v>
      </c>
      <c r="F52" s="178">
        <f t="shared" si="13"/>
        <v>22566823</v>
      </c>
      <c r="G52" s="178">
        <f t="shared" si="13"/>
        <v>3227655</v>
      </c>
      <c r="H52" s="178">
        <f t="shared" si="13"/>
        <v>4565505</v>
      </c>
      <c r="I52" s="178">
        <f t="shared" si="13"/>
        <v>3409109</v>
      </c>
      <c r="J52" s="178">
        <f t="shared" si="13"/>
        <v>-1514008</v>
      </c>
      <c r="K52" s="178">
        <f t="shared" si="13"/>
        <v>1760298</v>
      </c>
      <c r="L52" s="178">
        <f>+L13-L20+L32-L40-L45+L47-L49</f>
        <v>7657042</v>
      </c>
      <c r="M52" s="178">
        <f t="shared" si="13"/>
        <v>7138676</v>
      </c>
      <c r="N52" s="178">
        <f t="shared" si="13"/>
        <v>1149072</v>
      </c>
      <c r="O52" s="178">
        <f t="shared" si="13"/>
        <v>5022749</v>
      </c>
      <c r="P52" s="178">
        <f t="shared" si="13"/>
        <v>6632097</v>
      </c>
      <c r="Q52" s="178">
        <f>+Q13-Q20+Q32-Q40-Q45+Q47-Q49</f>
        <v>27099599</v>
      </c>
      <c r="R52" s="178">
        <f t="shared" si="13"/>
        <v>1229219</v>
      </c>
      <c r="S52" s="178">
        <f t="shared" si="13"/>
        <v>2009596</v>
      </c>
      <c r="T52" s="178">
        <f t="shared" si="13"/>
        <v>2853476</v>
      </c>
      <c r="U52" s="178">
        <f>+U13-U20+U32-U40-U45+U47-U49</f>
        <v>52501</v>
      </c>
      <c r="V52" s="178">
        <f t="shared" si="13"/>
        <v>4666815</v>
      </c>
      <c r="W52" s="178">
        <f t="shared" si="13"/>
        <v>765099</v>
      </c>
      <c r="X52" s="178">
        <f>+X13-X20+X32-X40-X45+X47-X49</f>
        <v>1613676</v>
      </c>
      <c r="Y52" s="178">
        <f>+Y13-Y20+Y32-Y40-Y45+Y47-Y49</f>
        <v>1749351</v>
      </c>
      <c r="Z52" s="178">
        <f t="shared" si="13"/>
        <v>984477</v>
      </c>
      <c r="AA52" s="178">
        <f t="shared" si="13"/>
        <v>697884</v>
      </c>
      <c r="AB52" s="178">
        <f t="shared" si="13"/>
        <v>1519568</v>
      </c>
      <c r="AC52" s="178">
        <f t="shared" si="13"/>
        <v>1088623</v>
      </c>
      <c r="AD52" s="178">
        <f>+AD13-AD20+AD32-AD40-AD45+AD47-AD49</f>
        <v>525556</v>
      </c>
      <c r="AE52" s="178">
        <f t="shared" si="13"/>
        <v>158999</v>
      </c>
      <c r="AF52" s="178">
        <f>+AF13-AF20+AF32-AF40-AF45+AF47-AF49</f>
        <v>3543580</v>
      </c>
      <c r="AG52" s="178">
        <f t="shared" si="13"/>
        <v>394513</v>
      </c>
      <c r="AH52" s="178">
        <f aca="true" t="shared" si="14" ref="AH52:AQ52">+AH13-AH20+AH32-AH40-AH45+AH47-AH49</f>
        <v>-17035</v>
      </c>
      <c r="AI52" s="178">
        <f t="shared" si="14"/>
        <v>112963</v>
      </c>
      <c r="AJ52" s="178">
        <f>+AJ13-AJ20+AJ32-AJ40-AJ45+AJ47-AJ49</f>
        <v>74737</v>
      </c>
      <c r="AK52" s="178">
        <f t="shared" si="14"/>
        <v>1434722</v>
      </c>
      <c r="AL52" s="178">
        <f t="shared" si="14"/>
        <v>21382</v>
      </c>
      <c r="AM52" s="178">
        <f t="shared" si="14"/>
        <v>68431</v>
      </c>
      <c r="AN52" s="178">
        <f t="shared" si="14"/>
        <v>30048</v>
      </c>
      <c r="AO52" s="178">
        <f t="shared" si="14"/>
        <v>2339</v>
      </c>
      <c r="AP52" s="178">
        <f t="shared" si="14"/>
        <v>5703</v>
      </c>
      <c r="AQ52" s="178">
        <f t="shared" si="14"/>
        <v>-10847</v>
      </c>
      <c r="AR52" s="178">
        <f t="shared" si="13"/>
        <v>6656</v>
      </c>
      <c r="AS52" s="178">
        <f t="shared" si="13"/>
        <v>-21784</v>
      </c>
      <c r="AU52" s="178">
        <f>+AU13-AU20+AU32-AU40-AU45+AU47-AU49</f>
        <v>175789903</v>
      </c>
      <c r="AV52" s="164"/>
      <c r="AW52" s="181">
        <f>+AW13-AW20+AW32-AW40-AW45+AW47-AW49</f>
        <v>51052684</v>
      </c>
      <c r="AX52" s="181">
        <f>+AX13-AX20+AX32-AX40-AX45+AX47-AX49</f>
        <v>124737219</v>
      </c>
    </row>
    <row r="53" spans="1:50" s="178" customFormat="1" ht="11.25" customHeight="1">
      <c r="A53" s="174"/>
      <c r="B53" s="174"/>
      <c r="AU53" s="164"/>
      <c r="AV53" s="164"/>
      <c r="AW53" s="210"/>
      <c r="AX53" s="210"/>
    </row>
    <row r="54" spans="1:50" s="178" customFormat="1" ht="11.25" customHeight="1" hidden="1" outlineLevel="1">
      <c r="A54" s="176" t="s">
        <v>76</v>
      </c>
      <c r="B54" s="176"/>
      <c r="C54" s="178">
        <f aca="true" t="shared" si="15" ref="C54:AS54">+C55+C56</f>
        <v>0</v>
      </c>
      <c r="D54" s="178">
        <f t="shared" si="15"/>
        <v>0</v>
      </c>
      <c r="E54" s="178">
        <f t="shared" si="15"/>
        <v>0</v>
      </c>
      <c r="F54" s="178">
        <f t="shared" si="15"/>
        <v>0</v>
      </c>
      <c r="G54" s="178">
        <f t="shared" si="15"/>
        <v>0</v>
      </c>
      <c r="H54" s="178">
        <f t="shared" si="15"/>
        <v>0</v>
      </c>
      <c r="I54" s="178">
        <f t="shared" si="15"/>
        <v>0</v>
      </c>
      <c r="J54" s="178">
        <f t="shared" si="15"/>
        <v>0</v>
      </c>
      <c r="K54" s="178">
        <f t="shared" si="15"/>
        <v>0</v>
      </c>
      <c r="L54" s="178">
        <f>+L55+L56</f>
        <v>0</v>
      </c>
      <c r="M54" s="178">
        <f t="shared" si="15"/>
        <v>0</v>
      </c>
      <c r="N54" s="178">
        <f t="shared" si="15"/>
        <v>0</v>
      </c>
      <c r="O54" s="178">
        <f t="shared" si="15"/>
        <v>0</v>
      </c>
      <c r="P54" s="178">
        <f t="shared" si="15"/>
        <v>0</v>
      </c>
      <c r="Q54" s="178">
        <f>+Q55+Q56</f>
        <v>0</v>
      </c>
      <c r="R54" s="178">
        <f t="shared" si="15"/>
        <v>0</v>
      </c>
      <c r="S54" s="178">
        <f t="shared" si="15"/>
        <v>0</v>
      </c>
      <c r="T54" s="178">
        <f t="shared" si="15"/>
        <v>0</v>
      </c>
      <c r="U54" s="178">
        <f>+U55+U56</f>
        <v>0</v>
      </c>
      <c r="V54" s="178">
        <f t="shared" si="15"/>
        <v>0</v>
      </c>
      <c r="W54" s="178">
        <f t="shared" si="15"/>
        <v>0</v>
      </c>
      <c r="X54" s="178">
        <f>+X55+X56</f>
        <v>0</v>
      </c>
      <c r="Y54" s="178">
        <f>+Y55+Y56</f>
        <v>0</v>
      </c>
      <c r="Z54" s="178">
        <f t="shared" si="15"/>
        <v>0</v>
      </c>
      <c r="AA54" s="178">
        <f t="shared" si="15"/>
        <v>0</v>
      </c>
      <c r="AB54" s="178">
        <f t="shared" si="15"/>
        <v>0</v>
      </c>
      <c r="AC54" s="178">
        <f t="shared" si="15"/>
        <v>0</v>
      </c>
      <c r="AD54" s="178">
        <f>+AD55+AD56</f>
        <v>0</v>
      </c>
      <c r="AE54" s="178">
        <f t="shared" si="15"/>
        <v>0</v>
      </c>
      <c r="AF54" s="178">
        <f>+AF55+AF56</f>
        <v>0</v>
      </c>
      <c r="AG54" s="178">
        <f t="shared" si="15"/>
        <v>0</v>
      </c>
      <c r="AH54" s="178">
        <f aca="true" t="shared" si="16" ref="AH54:AQ54">+AH55+AH56</f>
        <v>0</v>
      </c>
      <c r="AI54" s="178">
        <f t="shared" si="16"/>
        <v>0</v>
      </c>
      <c r="AJ54" s="178">
        <f>+AJ55+AJ56</f>
        <v>0</v>
      </c>
      <c r="AK54" s="178">
        <f t="shared" si="16"/>
        <v>0</v>
      </c>
      <c r="AL54" s="178">
        <f t="shared" si="16"/>
        <v>0</v>
      </c>
      <c r="AM54" s="178">
        <f t="shared" si="16"/>
        <v>0</v>
      </c>
      <c r="AN54" s="178">
        <f t="shared" si="16"/>
        <v>0</v>
      </c>
      <c r="AO54" s="178">
        <f t="shared" si="16"/>
        <v>0</v>
      </c>
      <c r="AP54" s="178">
        <f t="shared" si="16"/>
        <v>0</v>
      </c>
      <c r="AQ54" s="178">
        <f t="shared" si="16"/>
        <v>0</v>
      </c>
      <c r="AR54" s="178">
        <f t="shared" si="15"/>
        <v>0</v>
      </c>
      <c r="AS54" s="178">
        <f t="shared" si="15"/>
        <v>0</v>
      </c>
      <c r="AU54" s="178">
        <f>+AU55+AU56</f>
        <v>0</v>
      </c>
      <c r="AW54" s="181">
        <f>+AW55+AW56</f>
        <v>0</v>
      </c>
      <c r="AX54" s="181">
        <f>+AX55+AX56</f>
        <v>0</v>
      </c>
    </row>
    <row r="55" spans="1:50" s="178" customFormat="1" ht="11.25" customHeight="1" hidden="1" outlineLevel="1">
      <c r="A55" s="174" t="s">
        <v>77</v>
      </c>
      <c r="B55" s="174"/>
      <c r="C55" s="181">
        <v>0</v>
      </c>
      <c r="D55" s="181">
        <v>0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81">
        <v>0</v>
      </c>
      <c r="R55" s="181">
        <v>0</v>
      </c>
      <c r="S55" s="181">
        <v>0</v>
      </c>
      <c r="T55" s="181">
        <v>0</v>
      </c>
      <c r="U55" s="181">
        <v>0</v>
      </c>
      <c r="V55" s="181">
        <v>0</v>
      </c>
      <c r="W55" s="181">
        <v>0</v>
      </c>
      <c r="X55" s="181">
        <v>0</v>
      </c>
      <c r="Y55" s="181">
        <v>0</v>
      </c>
      <c r="Z55" s="181">
        <v>0</v>
      </c>
      <c r="AA55" s="181">
        <v>0</v>
      </c>
      <c r="AB55" s="181">
        <v>0</v>
      </c>
      <c r="AC55" s="181">
        <v>0</v>
      </c>
      <c r="AD55" s="181">
        <v>0</v>
      </c>
      <c r="AE55" s="181">
        <v>0</v>
      </c>
      <c r="AF55" s="181">
        <v>0</v>
      </c>
      <c r="AG55" s="181">
        <v>0</v>
      </c>
      <c r="AH55" s="181">
        <v>0</v>
      </c>
      <c r="AI55" s="181">
        <v>0</v>
      </c>
      <c r="AJ55" s="181">
        <v>0</v>
      </c>
      <c r="AK55" s="181">
        <v>0</v>
      </c>
      <c r="AL55" s="181">
        <v>0</v>
      </c>
      <c r="AM55" s="181">
        <v>0</v>
      </c>
      <c r="AN55" s="181">
        <v>0</v>
      </c>
      <c r="AO55" s="181">
        <v>0</v>
      </c>
      <c r="AP55" s="181">
        <v>0</v>
      </c>
      <c r="AQ55" s="181">
        <v>0</v>
      </c>
      <c r="AR55" s="181">
        <v>0</v>
      </c>
      <c r="AS55" s="181">
        <v>0</v>
      </c>
      <c r="AT55" s="164"/>
      <c r="AU55" s="164">
        <f>SUM(C55:AT55)</f>
        <v>0</v>
      </c>
      <c r="AV55" s="164"/>
      <c r="AW55" s="209">
        <f>SUMIF($C$163:$AS$163,"já",C55:AS55)</f>
        <v>0</v>
      </c>
      <c r="AX55" s="209">
        <f>SUMIF($C$163:$AS$163,"nei",C55:AS55)</f>
        <v>0</v>
      </c>
    </row>
    <row r="56" spans="1:50" s="178" customFormat="1" ht="11.25" customHeight="1" hidden="1" outlineLevel="1">
      <c r="A56" s="174" t="s">
        <v>528</v>
      </c>
      <c r="B56" s="174"/>
      <c r="C56" s="181">
        <v>0</v>
      </c>
      <c r="D56" s="181">
        <v>0</v>
      </c>
      <c r="E56" s="181">
        <v>0</v>
      </c>
      <c r="F56" s="181">
        <v>0</v>
      </c>
      <c r="G56" s="181">
        <v>0</v>
      </c>
      <c r="H56" s="181">
        <v>0</v>
      </c>
      <c r="I56" s="181">
        <v>0</v>
      </c>
      <c r="J56" s="181">
        <v>0</v>
      </c>
      <c r="K56" s="181">
        <v>0</v>
      </c>
      <c r="L56" s="181">
        <v>0</v>
      </c>
      <c r="M56" s="181">
        <v>0</v>
      </c>
      <c r="N56" s="181">
        <v>0</v>
      </c>
      <c r="O56" s="181">
        <v>0</v>
      </c>
      <c r="P56" s="181">
        <v>0</v>
      </c>
      <c r="Q56" s="181">
        <v>0</v>
      </c>
      <c r="R56" s="181">
        <v>0</v>
      </c>
      <c r="S56" s="181">
        <v>0</v>
      </c>
      <c r="T56" s="181">
        <v>0</v>
      </c>
      <c r="U56" s="181">
        <v>0</v>
      </c>
      <c r="V56" s="181">
        <v>0</v>
      </c>
      <c r="W56" s="181">
        <v>0</v>
      </c>
      <c r="X56" s="181">
        <v>0</v>
      </c>
      <c r="Y56" s="181">
        <v>0</v>
      </c>
      <c r="Z56" s="181">
        <v>0</v>
      </c>
      <c r="AA56" s="181">
        <v>0</v>
      </c>
      <c r="AB56" s="181">
        <v>0</v>
      </c>
      <c r="AC56" s="181">
        <v>0</v>
      </c>
      <c r="AD56" s="181">
        <v>0</v>
      </c>
      <c r="AE56" s="181">
        <v>0</v>
      </c>
      <c r="AF56" s="181">
        <v>0</v>
      </c>
      <c r="AG56" s="181">
        <v>0</v>
      </c>
      <c r="AH56" s="181">
        <v>0</v>
      </c>
      <c r="AI56" s="181">
        <v>0</v>
      </c>
      <c r="AJ56" s="181">
        <v>0</v>
      </c>
      <c r="AK56" s="181">
        <v>0</v>
      </c>
      <c r="AL56" s="181">
        <v>0</v>
      </c>
      <c r="AM56" s="181">
        <v>0</v>
      </c>
      <c r="AN56" s="181">
        <v>0</v>
      </c>
      <c r="AO56" s="181">
        <v>0</v>
      </c>
      <c r="AP56" s="181">
        <v>0</v>
      </c>
      <c r="AQ56" s="181">
        <v>0</v>
      </c>
      <c r="AR56" s="181">
        <v>0</v>
      </c>
      <c r="AS56" s="181">
        <v>0</v>
      </c>
      <c r="AT56" s="167"/>
      <c r="AU56" s="164">
        <f>SUM(C56:AT56)</f>
        <v>0</v>
      </c>
      <c r="AV56" s="164"/>
      <c r="AW56" s="209">
        <f>SUMIF($C$163:$AS$163,"já",C56:AS56)</f>
        <v>0</v>
      </c>
      <c r="AX56" s="209">
        <f>SUMIF($C$163:$AS$163,"nei",C56:AS56)</f>
        <v>0</v>
      </c>
    </row>
    <row r="57" spans="1:50" s="178" customFormat="1" ht="11.25" customHeight="1" hidden="1" outlineLevel="1">
      <c r="A57" s="176"/>
      <c r="B57" s="176"/>
      <c r="C57" s="164"/>
      <c r="D57" s="164"/>
      <c r="E57" s="164"/>
      <c r="G57" s="164"/>
      <c r="H57" s="164"/>
      <c r="I57" s="164"/>
      <c r="J57" s="164"/>
      <c r="K57" s="164"/>
      <c r="L57" s="164"/>
      <c r="M57" s="164"/>
      <c r="O57" s="164"/>
      <c r="P57" s="185"/>
      <c r="Q57" s="164"/>
      <c r="S57" s="164"/>
      <c r="T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210"/>
      <c r="AX57" s="210"/>
    </row>
    <row r="58" spans="1:50" s="178" customFormat="1" ht="11.25" customHeight="1" hidden="1" outlineLevel="1">
      <c r="A58" s="176" t="s">
        <v>78</v>
      </c>
      <c r="B58" s="176"/>
      <c r="C58" s="181">
        <v>0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81">
        <v>0</v>
      </c>
      <c r="T58" s="181">
        <v>0</v>
      </c>
      <c r="U58" s="181">
        <v>0</v>
      </c>
      <c r="V58" s="181">
        <v>0</v>
      </c>
      <c r="W58" s="181">
        <v>0</v>
      </c>
      <c r="X58" s="181">
        <v>0</v>
      </c>
      <c r="Y58" s="181">
        <v>0</v>
      </c>
      <c r="Z58" s="181">
        <v>0</v>
      </c>
      <c r="AA58" s="181">
        <v>0</v>
      </c>
      <c r="AB58" s="181">
        <v>0</v>
      </c>
      <c r="AC58" s="181">
        <v>0</v>
      </c>
      <c r="AD58" s="181">
        <v>0</v>
      </c>
      <c r="AE58" s="181">
        <v>0</v>
      </c>
      <c r="AF58" s="181">
        <v>0</v>
      </c>
      <c r="AG58" s="181">
        <v>0</v>
      </c>
      <c r="AH58" s="181">
        <v>0</v>
      </c>
      <c r="AI58" s="181">
        <v>0</v>
      </c>
      <c r="AJ58" s="181">
        <v>0</v>
      </c>
      <c r="AK58" s="181">
        <v>0</v>
      </c>
      <c r="AL58" s="181">
        <v>0</v>
      </c>
      <c r="AM58" s="181">
        <v>0</v>
      </c>
      <c r="AN58" s="181">
        <v>0</v>
      </c>
      <c r="AO58" s="181">
        <v>0</v>
      </c>
      <c r="AP58" s="181">
        <v>0</v>
      </c>
      <c r="AQ58" s="181">
        <v>0</v>
      </c>
      <c r="AR58" s="181">
        <v>0</v>
      </c>
      <c r="AS58" s="181">
        <v>0</v>
      </c>
      <c r="AT58" s="167"/>
      <c r="AU58" s="164">
        <f>SUM(C58:AT58)</f>
        <v>0</v>
      </c>
      <c r="AV58" s="164"/>
      <c r="AW58" s="209">
        <f>SUMIF($I$163:$AS$163,"já",I58:AS58)</f>
        <v>0</v>
      </c>
      <c r="AX58" s="209">
        <f>SUMIF($I$163:$AS$163,"nei",I58:AS58)</f>
        <v>0</v>
      </c>
    </row>
    <row r="59" spans="1:50" s="178" customFormat="1" ht="11.25" customHeight="1" hidden="1" outlineLevel="1">
      <c r="A59" s="176"/>
      <c r="B59" s="176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64"/>
      <c r="AU59" s="164"/>
      <c r="AV59" s="164"/>
      <c r="AW59" s="210"/>
      <c r="AX59" s="210"/>
    </row>
    <row r="60" spans="1:50" s="178" customFormat="1" ht="11.25" customHeight="1" collapsed="1">
      <c r="A60" s="176" t="s">
        <v>79</v>
      </c>
      <c r="B60" s="176"/>
      <c r="C60" s="164">
        <f>+C52+C55-C56+C58</f>
        <v>16063245</v>
      </c>
      <c r="D60" s="164">
        <f aca="true" t="shared" si="17" ref="D60:AS60">+D52+D55-D56+D58</f>
        <v>17612449</v>
      </c>
      <c r="E60" s="164">
        <f t="shared" si="17"/>
        <v>27839344</v>
      </c>
      <c r="F60" s="164">
        <f t="shared" si="17"/>
        <v>22566823</v>
      </c>
      <c r="G60" s="164">
        <f t="shared" si="17"/>
        <v>3227655</v>
      </c>
      <c r="H60" s="164">
        <f t="shared" si="17"/>
        <v>4565505</v>
      </c>
      <c r="I60" s="164">
        <f t="shared" si="17"/>
        <v>3409109</v>
      </c>
      <c r="J60" s="164">
        <f t="shared" si="17"/>
        <v>-1514008</v>
      </c>
      <c r="K60" s="164">
        <f t="shared" si="17"/>
        <v>1760298</v>
      </c>
      <c r="L60" s="164">
        <f>+L52+L55-L56+L58</f>
        <v>7657042</v>
      </c>
      <c r="M60" s="164">
        <f t="shared" si="17"/>
        <v>7138676</v>
      </c>
      <c r="N60" s="164">
        <f t="shared" si="17"/>
        <v>1149072</v>
      </c>
      <c r="O60" s="164">
        <f t="shared" si="17"/>
        <v>5022749</v>
      </c>
      <c r="P60" s="164">
        <f t="shared" si="17"/>
        <v>6632097</v>
      </c>
      <c r="Q60" s="164">
        <f>+Q52+Q55-Q56+Q58</f>
        <v>27099599</v>
      </c>
      <c r="R60" s="164">
        <f t="shared" si="17"/>
        <v>1229219</v>
      </c>
      <c r="S60" s="164">
        <f t="shared" si="17"/>
        <v>2009596</v>
      </c>
      <c r="T60" s="164">
        <f t="shared" si="17"/>
        <v>2853476</v>
      </c>
      <c r="U60" s="164">
        <f>+U52+U55-U56+U58</f>
        <v>52501</v>
      </c>
      <c r="V60" s="164">
        <f t="shared" si="17"/>
        <v>4666815</v>
      </c>
      <c r="W60" s="164">
        <f t="shared" si="17"/>
        <v>765099</v>
      </c>
      <c r="X60" s="164">
        <f>+X52+X55-X56+X58</f>
        <v>1613676</v>
      </c>
      <c r="Y60" s="164">
        <f>+Y52+Y55-Y56+Y58</f>
        <v>1749351</v>
      </c>
      <c r="Z60" s="164">
        <f t="shared" si="17"/>
        <v>984477</v>
      </c>
      <c r="AA60" s="164">
        <f t="shared" si="17"/>
        <v>697884</v>
      </c>
      <c r="AB60" s="164">
        <f t="shared" si="17"/>
        <v>1519568</v>
      </c>
      <c r="AC60" s="164">
        <f t="shared" si="17"/>
        <v>1088623</v>
      </c>
      <c r="AD60" s="164">
        <f>+AD52+AD55-AD56+AD58</f>
        <v>525556</v>
      </c>
      <c r="AE60" s="164">
        <f t="shared" si="17"/>
        <v>158999</v>
      </c>
      <c r="AF60" s="164">
        <f>+AF52+AF55-AF56+AF58</f>
        <v>3543580</v>
      </c>
      <c r="AG60" s="164">
        <f t="shared" si="17"/>
        <v>394513</v>
      </c>
      <c r="AH60" s="164">
        <f aca="true" t="shared" si="18" ref="AH60:AQ60">+AH52+AH55-AH56+AH58</f>
        <v>-17035</v>
      </c>
      <c r="AI60" s="164">
        <f t="shared" si="18"/>
        <v>112963</v>
      </c>
      <c r="AJ60" s="164">
        <f>+AJ52+AJ55-AJ56+AJ58</f>
        <v>74737</v>
      </c>
      <c r="AK60" s="164">
        <f t="shared" si="18"/>
        <v>1434722</v>
      </c>
      <c r="AL60" s="164">
        <f t="shared" si="18"/>
        <v>21382</v>
      </c>
      <c r="AM60" s="164">
        <f t="shared" si="18"/>
        <v>68431</v>
      </c>
      <c r="AN60" s="164">
        <f t="shared" si="18"/>
        <v>30048</v>
      </c>
      <c r="AO60" s="164">
        <f t="shared" si="18"/>
        <v>2339</v>
      </c>
      <c r="AP60" s="164">
        <f t="shared" si="18"/>
        <v>5703</v>
      </c>
      <c r="AQ60" s="164">
        <f t="shared" si="18"/>
        <v>-10847</v>
      </c>
      <c r="AR60" s="164">
        <f t="shared" si="17"/>
        <v>6656</v>
      </c>
      <c r="AS60" s="164">
        <f t="shared" si="17"/>
        <v>-21784</v>
      </c>
      <c r="AT60" s="164"/>
      <c r="AU60" s="164">
        <f>+AU52+AU55-AU56+AU58</f>
        <v>175789903</v>
      </c>
      <c r="AV60" s="164"/>
      <c r="AW60" s="210">
        <f>+AW52+AW55-AW56+AW58</f>
        <v>51052684</v>
      </c>
      <c r="AX60" s="210">
        <f>+AX52+AX55-AX56+AX58</f>
        <v>124737219</v>
      </c>
    </row>
    <row r="61" spans="1:50" s="178" customFormat="1" ht="11.25" customHeight="1">
      <c r="A61" s="174"/>
      <c r="B61" s="174"/>
      <c r="AT61" s="167"/>
      <c r="AU61" s="164"/>
      <c r="AV61" s="164"/>
      <c r="AW61" s="210"/>
      <c r="AX61" s="210"/>
    </row>
    <row r="62" spans="1:50" s="178" customFormat="1" ht="11.25" customHeight="1">
      <c r="A62" s="176" t="s">
        <v>80</v>
      </c>
      <c r="B62" s="176"/>
      <c r="C62" s="178">
        <v>91184602</v>
      </c>
      <c r="D62" s="178">
        <v>185400903</v>
      </c>
      <c r="E62" s="178">
        <v>234770058</v>
      </c>
      <c r="F62" s="178">
        <v>213424953</v>
      </c>
      <c r="G62" s="178">
        <v>6783209</v>
      </c>
      <c r="H62" s="178">
        <v>78774371</v>
      </c>
      <c r="I62" s="178">
        <v>22803847</v>
      </c>
      <c r="J62" s="178">
        <v>5718896</v>
      </c>
      <c r="K62" s="178">
        <v>7710838</v>
      </c>
      <c r="L62" s="178">
        <v>81726873</v>
      </c>
      <c r="M62" s="178">
        <v>71525549</v>
      </c>
      <c r="N62" s="178">
        <v>11491638</v>
      </c>
      <c r="O62" s="178">
        <v>50594351</v>
      </c>
      <c r="P62" s="185">
        <v>48532662</v>
      </c>
      <c r="Q62" s="178">
        <v>13179379</v>
      </c>
      <c r="R62" s="178">
        <v>24739081</v>
      </c>
      <c r="S62" s="178">
        <v>10080709</v>
      </c>
      <c r="T62" s="178">
        <v>25780336</v>
      </c>
      <c r="U62" s="178">
        <v>2369364</v>
      </c>
      <c r="V62" s="178">
        <v>20241933</v>
      </c>
      <c r="W62" s="178">
        <v>1900230</v>
      </c>
      <c r="X62" s="178">
        <v>25645214</v>
      </c>
      <c r="Y62" s="178">
        <v>21443378</v>
      </c>
      <c r="Z62" s="178">
        <v>22147805</v>
      </c>
      <c r="AA62" s="178">
        <v>20905368</v>
      </c>
      <c r="AB62" s="178">
        <v>14087989</v>
      </c>
      <c r="AC62" s="178">
        <v>11865757</v>
      </c>
      <c r="AD62" s="178">
        <v>9598064</v>
      </c>
      <c r="AE62" s="178">
        <v>7064000</v>
      </c>
      <c r="AF62" s="178">
        <v>2378237</v>
      </c>
      <c r="AG62" s="178">
        <v>3882037</v>
      </c>
      <c r="AH62" s="178">
        <v>322973</v>
      </c>
      <c r="AI62" s="178">
        <v>2392117</v>
      </c>
      <c r="AJ62" s="178">
        <v>2186980</v>
      </c>
      <c r="AK62" s="178">
        <v>800865</v>
      </c>
      <c r="AL62" s="178">
        <v>1124824</v>
      </c>
      <c r="AM62" s="178">
        <v>693279</v>
      </c>
      <c r="AN62" s="178">
        <v>451430</v>
      </c>
      <c r="AO62" s="178">
        <v>470205</v>
      </c>
      <c r="AP62" s="178">
        <v>443865</v>
      </c>
      <c r="AQ62" s="178">
        <v>183340</v>
      </c>
      <c r="AR62" s="178">
        <v>64524</v>
      </c>
      <c r="AS62" s="178">
        <v>27472</v>
      </c>
      <c r="AT62" s="167"/>
      <c r="AU62" s="164">
        <f>SUM(C62:AT62)</f>
        <v>1356913505</v>
      </c>
      <c r="AV62" s="164"/>
      <c r="AW62" s="209">
        <f>SUMIF($C$163:$AS$163,"já",C62:AS62)</f>
        <v>237845741</v>
      </c>
      <c r="AX62" s="209">
        <f>SUMIF($C$163:$AS$163,"nei",C62:AS62)</f>
        <v>1119067764</v>
      </c>
    </row>
    <row r="63" spans="1:50" s="178" customFormat="1" ht="11.25" customHeight="1">
      <c r="A63" s="140"/>
      <c r="B63" s="140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210"/>
      <c r="AX63" s="210"/>
    </row>
    <row r="64" spans="1:50" s="170" customFormat="1" ht="11.25" customHeight="1">
      <c r="A64" s="193" t="s">
        <v>81</v>
      </c>
      <c r="B64" s="193"/>
      <c r="C64" s="194">
        <f>+C60+C62</f>
        <v>107247847</v>
      </c>
      <c r="D64" s="194">
        <f aca="true" t="shared" si="19" ref="D64:AS64">+D60+D62</f>
        <v>203013352</v>
      </c>
      <c r="E64" s="194">
        <f t="shared" si="19"/>
        <v>262609402</v>
      </c>
      <c r="F64" s="194">
        <f t="shared" si="19"/>
        <v>235991776</v>
      </c>
      <c r="G64" s="194">
        <f t="shared" si="19"/>
        <v>10010864</v>
      </c>
      <c r="H64" s="194">
        <f t="shared" si="19"/>
        <v>83339876</v>
      </c>
      <c r="I64" s="194">
        <f t="shared" si="19"/>
        <v>26212956</v>
      </c>
      <c r="J64" s="194">
        <f t="shared" si="19"/>
        <v>4204888</v>
      </c>
      <c r="K64" s="194">
        <f t="shared" si="19"/>
        <v>9471136</v>
      </c>
      <c r="L64" s="194">
        <f>+L60+L62</f>
        <v>89383915</v>
      </c>
      <c r="M64" s="194">
        <f t="shared" si="19"/>
        <v>78664225</v>
      </c>
      <c r="N64" s="194">
        <f t="shared" si="19"/>
        <v>12640710</v>
      </c>
      <c r="O64" s="194">
        <f t="shared" si="19"/>
        <v>55617100</v>
      </c>
      <c r="P64" s="194">
        <f t="shared" si="19"/>
        <v>55164759</v>
      </c>
      <c r="Q64" s="194">
        <f>+Q60+Q62</f>
        <v>40278978</v>
      </c>
      <c r="R64" s="194">
        <f t="shared" si="19"/>
        <v>25968300</v>
      </c>
      <c r="S64" s="194">
        <f t="shared" si="19"/>
        <v>12090305</v>
      </c>
      <c r="T64" s="194">
        <f t="shared" si="19"/>
        <v>28633812</v>
      </c>
      <c r="U64" s="194">
        <f>+U60+U62</f>
        <v>2421865</v>
      </c>
      <c r="V64" s="194">
        <f t="shared" si="19"/>
        <v>24908748</v>
      </c>
      <c r="W64" s="194">
        <f t="shared" si="19"/>
        <v>2665329</v>
      </c>
      <c r="X64" s="194">
        <f>+X60+X62</f>
        <v>27258890</v>
      </c>
      <c r="Y64" s="194">
        <f>+Y60+Y62</f>
        <v>23192729</v>
      </c>
      <c r="Z64" s="194">
        <f t="shared" si="19"/>
        <v>23132282</v>
      </c>
      <c r="AA64" s="194">
        <f t="shared" si="19"/>
        <v>21603252</v>
      </c>
      <c r="AB64" s="194">
        <f t="shared" si="19"/>
        <v>15607557</v>
      </c>
      <c r="AC64" s="194">
        <f t="shared" si="19"/>
        <v>12954380</v>
      </c>
      <c r="AD64" s="194">
        <f>+AD60+AD62</f>
        <v>10123620</v>
      </c>
      <c r="AE64" s="194">
        <f t="shared" si="19"/>
        <v>7222999</v>
      </c>
      <c r="AF64" s="194">
        <f>+AF60+AF62</f>
        <v>5921817</v>
      </c>
      <c r="AG64" s="194">
        <f t="shared" si="19"/>
        <v>4276550</v>
      </c>
      <c r="AH64" s="194">
        <f aca="true" t="shared" si="20" ref="AH64:AQ64">+AH60+AH62</f>
        <v>305938</v>
      </c>
      <c r="AI64" s="194">
        <f t="shared" si="20"/>
        <v>2505080</v>
      </c>
      <c r="AJ64" s="194">
        <f>+AJ60+AJ62</f>
        <v>2261717</v>
      </c>
      <c r="AK64" s="194">
        <f t="shared" si="20"/>
        <v>2235587</v>
      </c>
      <c r="AL64" s="194">
        <f t="shared" si="20"/>
        <v>1146206</v>
      </c>
      <c r="AM64" s="194">
        <f t="shared" si="20"/>
        <v>761710</v>
      </c>
      <c r="AN64" s="194">
        <f t="shared" si="20"/>
        <v>481478</v>
      </c>
      <c r="AO64" s="194">
        <f t="shared" si="20"/>
        <v>472544</v>
      </c>
      <c r="AP64" s="194">
        <f t="shared" si="20"/>
        <v>449568</v>
      </c>
      <c r="AQ64" s="194">
        <f t="shared" si="20"/>
        <v>172493</v>
      </c>
      <c r="AR64" s="194">
        <f t="shared" si="19"/>
        <v>71180</v>
      </c>
      <c r="AS64" s="194">
        <f t="shared" si="19"/>
        <v>5688</v>
      </c>
      <c r="AT64" s="194"/>
      <c r="AU64" s="194">
        <f>+AU60+AU62</f>
        <v>1532703408</v>
      </c>
      <c r="AV64" s="194"/>
      <c r="AW64" s="213">
        <f>+AW60+AW62</f>
        <v>288898425</v>
      </c>
      <c r="AX64" s="213">
        <f>+AX60+AX62</f>
        <v>1243804983</v>
      </c>
    </row>
    <row r="65" spans="1:50" s="170" customFormat="1" ht="11.25" customHeight="1">
      <c r="A65" s="193"/>
      <c r="B65" s="19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78"/>
      <c r="AO65" s="164"/>
      <c r="AP65" s="164"/>
      <c r="AQ65" s="164"/>
      <c r="AR65" s="164"/>
      <c r="AS65" s="164"/>
      <c r="AT65" s="164"/>
      <c r="AU65" s="164"/>
      <c r="AV65" s="164"/>
      <c r="AW65" s="210"/>
      <c r="AX65" s="210"/>
    </row>
    <row r="66" spans="1:50" ht="18" customHeight="1">
      <c r="A66" s="204" t="s">
        <v>82</v>
      </c>
      <c r="B66" s="205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78"/>
      <c r="AO66" s="164"/>
      <c r="AP66" s="164"/>
      <c r="AQ66" s="164"/>
      <c r="AR66" s="164"/>
      <c r="AS66" s="164"/>
      <c r="AT66" s="164"/>
      <c r="AU66" s="164"/>
      <c r="AV66" s="164"/>
      <c r="AW66" s="210"/>
      <c r="AX66" s="210"/>
    </row>
    <row r="67" spans="1:50" ht="11.25" customHeight="1">
      <c r="A67" s="215" t="s">
        <v>83</v>
      </c>
      <c r="B67" s="215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210"/>
      <c r="AX67" s="210"/>
    </row>
    <row r="68" spans="1:50" ht="11.25" customHeight="1" hidden="1" outlineLevel="1">
      <c r="A68" s="190" t="s">
        <v>84</v>
      </c>
      <c r="B68" s="190"/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79">
        <v>0</v>
      </c>
      <c r="I68" s="179">
        <v>0</v>
      </c>
      <c r="J68" s="179">
        <v>0</v>
      </c>
      <c r="K68" s="179">
        <v>0</v>
      </c>
      <c r="L68" s="179">
        <v>0</v>
      </c>
      <c r="M68" s="179">
        <v>0</v>
      </c>
      <c r="N68" s="179">
        <v>0</v>
      </c>
      <c r="O68" s="179">
        <v>0</v>
      </c>
      <c r="P68" s="179">
        <v>0</v>
      </c>
      <c r="Q68" s="179">
        <v>0</v>
      </c>
      <c r="R68" s="179">
        <v>0</v>
      </c>
      <c r="S68" s="179">
        <v>0</v>
      </c>
      <c r="T68" s="179">
        <v>0</v>
      </c>
      <c r="U68" s="179">
        <v>0</v>
      </c>
      <c r="V68" s="179">
        <v>0</v>
      </c>
      <c r="W68" s="179">
        <v>0</v>
      </c>
      <c r="X68" s="179">
        <v>0</v>
      </c>
      <c r="Y68" s="179">
        <v>0</v>
      </c>
      <c r="Z68" s="179">
        <v>0</v>
      </c>
      <c r="AA68" s="179">
        <v>0</v>
      </c>
      <c r="AB68" s="179">
        <v>0</v>
      </c>
      <c r="AC68" s="179">
        <v>0</v>
      </c>
      <c r="AD68" s="179">
        <v>0</v>
      </c>
      <c r="AE68" s="179">
        <v>0</v>
      </c>
      <c r="AF68" s="179">
        <v>0</v>
      </c>
      <c r="AG68" s="179">
        <v>0</v>
      </c>
      <c r="AH68" s="179">
        <v>0</v>
      </c>
      <c r="AI68" s="179">
        <v>0</v>
      </c>
      <c r="AJ68" s="179">
        <v>0</v>
      </c>
      <c r="AK68" s="179">
        <v>0</v>
      </c>
      <c r="AL68" s="179">
        <v>0</v>
      </c>
      <c r="AM68" s="179">
        <v>0</v>
      </c>
      <c r="AN68" s="179">
        <v>0</v>
      </c>
      <c r="AO68" s="179">
        <v>0</v>
      </c>
      <c r="AP68" s="179">
        <v>0</v>
      </c>
      <c r="AQ68" s="179">
        <v>0</v>
      </c>
      <c r="AR68" s="179">
        <v>0</v>
      </c>
      <c r="AS68" s="179">
        <v>0</v>
      </c>
      <c r="AT68" s="167"/>
      <c r="AU68" s="164">
        <f>SUM(C68:AT68)</f>
        <v>0</v>
      </c>
      <c r="AV68" s="164"/>
      <c r="AW68" s="209">
        <f>SUMIF($C$163:$AS$163,"já",C68:AS68)</f>
        <v>0</v>
      </c>
      <c r="AX68" s="209">
        <f>SUMIF($C$163:$AS$163,"nei",C68:AS68)</f>
        <v>0</v>
      </c>
    </row>
    <row r="69" spans="1:50" ht="11.25" customHeight="1" hidden="1" outlineLevel="1">
      <c r="A69" s="176"/>
      <c r="B69" s="176"/>
      <c r="C69" s="167"/>
      <c r="D69" s="167"/>
      <c r="E69" s="178"/>
      <c r="F69" s="178"/>
      <c r="G69" s="178"/>
      <c r="H69" s="178"/>
      <c r="I69" s="178"/>
      <c r="J69" s="178"/>
      <c r="K69" s="167"/>
      <c r="L69" s="167"/>
      <c r="M69" s="185"/>
      <c r="N69" s="178"/>
      <c r="O69" s="167"/>
      <c r="P69" s="178"/>
      <c r="Q69" s="178"/>
      <c r="R69" s="178"/>
      <c r="S69" s="178"/>
      <c r="T69" s="178"/>
      <c r="U69" s="178"/>
      <c r="V69" s="167"/>
      <c r="W69" s="178"/>
      <c r="X69" s="178"/>
      <c r="Y69" s="178"/>
      <c r="Z69" s="167"/>
      <c r="AA69" s="178"/>
      <c r="AB69" s="178"/>
      <c r="AC69" s="178"/>
      <c r="AD69" s="167"/>
      <c r="AE69" s="167"/>
      <c r="AF69" s="178"/>
      <c r="AG69" s="167"/>
      <c r="AH69" s="178"/>
      <c r="AI69" s="167"/>
      <c r="AJ69" s="167"/>
      <c r="AK69" s="178"/>
      <c r="AL69" s="167"/>
      <c r="AM69" s="167"/>
      <c r="AN69" s="178"/>
      <c r="AO69" s="167"/>
      <c r="AP69" s="167"/>
      <c r="AQ69" s="167"/>
      <c r="AR69" s="178"/>
      <c r="AS69" s="167"/>
      <c r="AT69" s="167"/>
      <c r="AU69" s="164"/>
      <c r="AV69" s="164"/>
      <c r="AW69" s="210"/>
      <c r="AX69" s="210"/>
    </row>
    <row r="70" spans="1:50" ht="11.25" customHeight="1" hidden="1" outlineLevel="1">
      <c r="A70" s="176" t="s">
        <v>85</v>
      </c>
      <c r="B70" s="176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64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64"/>
      <c r="AV70" s="164"/>
      <c r="AW70" s="210"/>
      <c r="AX70" s="210"/>
    </row>
    <row r="71" spans="1:50" ht="11.25" customHeight="1" hidden="1" outlineLevel="1">
      <c r="A71" s="174" t="s">
        <v>86</v>
      </c>
      <c r="B71" s="174"/>
      <c r="C71" s="179">
        <v>64153</v>
      </c>
      <c r="D71" s="179">
        <v>64153</v>
      </c>
      <c r="E71" s="179">
        <v>280724</v>
      </c>
      <c r="F71" s="179">
        <v>200078</v>
      </c>
      <c r="G71" s="179">
        <v>0</v>
      </c>
      <c r="H71" s="179">
        <v>144412</v>
      </c>
      <c r="I71" s="179">
        <v>0</v>
      </c>
      <c r="J71" s="179">
        <v>0</v>
      </c>
      <c r="K71" s="179">
        <v>0</v>
      </c>
      <c r="L71" s="179">
        <v>96134</v>
      </c>
      <c r="M71" s="179">
        <v>64014</v>
      </c>
      <c r="N71" s="179">
        <v>0</v>
      </c>
      <c r="O71" s="179">
        <v>0</v>
      </c>
      <c r="P71" s="179">
        <v>27721</v>
      </c>
      <c r="Q71" s="179">
        <v>0</v>
      </c>
      <c r="R71" s="179">
        <v>0</v>
      </c>
      <c r="S71" s="179">
        <v>0</v>
      </c>
      <c r="T71" s="179">
        <v>0</v>
      </c>
      <c r="U71" s="179">
        <v>0</v>
      </c>
      <c r="V71" s="179">
        <v>0</v>
      </c>
      <c r="W71" s="179">
        <v>0</v>
      </c>
      <c r="X71" s="179">
        <v>34594</v>
      </c>
      <c r="Y71" s="179">
        <v>22343</v>
      </c>
      <c r="Z71" s="179">
        <v>14256</v>
      </c>
      <c r="AA71" s="179">
        <v>0</v>
      </c>
      <c r="AB71" s="179">
        <v>17212</v>
      </c>
      <c r="AC71" s="179">
        <v>0</v>
      </c>
      <c r="AD71" s="179">
        <v>0</v>
      </c>
      <c r="AE71" s="179">
        <v>0</v>
      </c>
      <c r="AF71" s="179">
        <v>0</v>
      </c>
      <c r="AG71" s="179">
        <v>11731</v>
      </c>
      <c r="AH71" s="179">
        <v>0</v>
      </c>
      <c r="AI71" s="179">
        <v>21000</v>
      </c>
      <c r="AJ71" s="179">
        <v>0</v>
      </c>
      <c r="AK71" s="179">
        <v>0</v>
      </c>
      <c r="AL71" s="179">
        <v>0</v>
      </c>
      <c r="AM71" s="179">
        <v>0</v>
      </c>
      <c r="AN71" s="179">
        <v>0</v>
      </c>
      <c r="AO71" s="179">
        <v>0</v>
      </c>
      <c r="AP71" s="179">
        <v>0</v>
      </c>
      <c r="AQ71" s="179">
        <v>0</v>
      </c>
      <c r="AR71" s="179">
        <v>0</v>
      </c>
      <c r="AS71" s="179">
        <v>0</v>
      </c>
      <c r="AT71" s="185"/>
      <c r="AU71" s="164">
        <f>SUM(C71:AT71)</f>
        <v>1062525</v>
      </c>
      <c r="AV71" s="164"/>
      <c r="AW71" s="209">
        <f>SUMIF($C$163:$AS$163,"já",C71:AS71)</f>
        <v>99409</v>
      </c>
      <c r="AX71" s="209">
        <f>SUMIF($C$163:$AS$163,"nei",C71:AS71)</f>
        <v>963116</v>
      </c>
    </row>
    <row r="72" spans="1:50" ht="11.25" customHeight="1" hidden="1" outlineLevel="1">
      <c r="A72" s="174"/>
      <c r="B72" s="174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64"/>
      <c r="O72" s="185"/>
      <c r="P72" s="164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64"/>
      <c r="AV72" s="164"/>
      <c r="AW72" s="210"/>
      <c r="AX72" s="210"/>
    </row>
    <row r="73" spans="1:50" ht="11.25" customHeight="1" hidden="1" outlineLevel="1">
      <c r="A73" s="191" t="s">
        <v>87</v>
      </c>
      <c r="B73" s="191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64"/>
      <c r="O73" s="185"/>
      <c r="P73" s="164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64"/>
      <c r="AV73" s="164"/>
      <c r="AW73" s="210"/>
      <c r="AX73" s="210"/>
    </row>
    <row r="74" spans="1:50" ht="11.25" customHeight="1" hidden="1" outlineLevel="1">
      <c r="A74" s="174" t="s">
        <v>88</v>
      </c>
      <c r="B74" s="174"/>
      <c r="C74" s="179">
        <v>0</v>
      </c>
      <c r="D74" s="179">
        <v>0</v>
      </c>
      <c r="E74" s="179">
        <v>0</v>
      </c>
      <c r="F74" s="179">
        <v>0</v>
      </c>
      <c r="G74" s="179">
        <v>0</v>
      </c>
      <c r="H74" s="179">
        <v>0</v>
      </c>
      <c r="I74" s="179">
        <v>0</v>
      </c>
      <c r="J74" s="179">
        <v>0</v>
      </c>
      <c r="K74" s="179">
        <v>0</v>
      </c>
      <c r="L74" s="179">
        <v>0</v>
      </c>
      <c r="M74" s="179">
        <v>0</v>
      </c>
      <c r="N74" s="179">
        <v>0</v>
      </c>
      <c r="O74" s="179">
        <v>0</v>
      </c>
      <c r="P74" s="179">
        <v>0</v>
      </c>
      <c r="Q74" s="179">
        <v>0</v>
      </c>
      <c r="R74" s="179">
        <v>0</v>
      </c>
      <c r="S74" s="179">
        <v>0</v>
      </c>
      <c r="T74" s="179">
        <v>0</v>
      </c>
      <c r="U74" s="179">
        <v>0</v>
      </c>
      <c r="V74" s="179">
        <v>0</v>
      </c>
      <c r="W74" s="179">
        <v>0</v>
      </c>
      <c r="X74" s="179">
        <v>0</v>
      </c>
      <c r="Y74" s="179">
        <v>0</v>
      </c>
      <c r="Z74" s="179">
        <v>0</v>
      </c>
      <c r="AA74" s="179">
        <v>0</v>
      </c>
      <c r="AB74" s="179">
        <v>0</v>
      </c>
      <c r="AC74" s="179">
        <v>0</v>
      </c>
      <c r="AD74" s="179">
        <v>0</v>
      </c>
      <c r="AE74" s="179">
        <v>0</v>
      </c>
      <c r="AF74" s="179">
        <v>0</v>
      </c>
      <c r="AG74" s="179">
        <v>0</v>
      </c>
      <c r="AH74" s="179">
        <v>0</v>
      </c>
      <c r="AI74" s="179">
        <v>0</v>
      </c>
      <c r="AJ74" s="179">
        <v>0</v>
      </c>
      <c r="AK74" s="179">
        <v>0</v>
      </c>
      <c r="AL74" s="179">
        <v>0</v>
      </c>
      <c r="AM74" s="179">
        <v>0</v>
      </c>
      <c r="AN74" s="179">
        <v>0</v>
      </c>
      <c r="AO74" s="179">
        <v>0</v>
      </c>
      <c r="AP74" s="179">
        <v>0</v>
      </c>
      <c r="AQ74" s="179">
        <v>0</v>
      </c>
      <c r="AR74" s="179">
        <v>0</v>
      </c>
      <c r="AS74" s="179">
        <v>0</v>
      </c>
      <c r="AT74" s="185"/>
      <c r="AU74" s="164">
        <f>SUM(C74:AT74)</f>
        <v>0</v>
      </c>
      <c r="AV74" s="164"/>
      <c r="AW74" s="209">
        <f>SUMIF($C$163:$AS$163,"já",C74:AS74)</f>
        <v>0</v>
      </c>
      <c r="AX74" s="209">
        <f>SUMIF($C$163:$AS$163,"nei",C74:AS74)</f>
        <v>0</v>
      </c>
    </row>
    <row r="75" spans="1:50" ht="11.25" customHeight="1" hidden="1" outlineLevel="1">
      <c r="A75" s="174" t="s">
        <v>89</v>
      </c>
      <c r="B75" s="174"/>
      <c r="C75" s="179">
        <v>0</v>
      </c>
      <c r="D75" s="179">
        <v>0</v>
      </c>
      <c r="E75" s="179">
        <v>0</v>
      </c>
      <c r="F75" s="179">
        <v>0</v>
      </c>
      <c r="G75" s="179">
        <v>0</v>
      </c>
      <c r="H75" s="179">
        <v>0</v>
      </c>
      <c r="I75" s="179">
        <v>0</v>
      </c>
      <c r="J75" s="179">
        <v>0</v>
      </c>
      <c r="K75" s="179">
        <v>0</v>
      </c>
      <c r="L75" s="179">
        <v>0</v>
      </c>
      <c r="M75" s="179">
        <v>0</v>
      </c>
      <c r="N75" s="179">
        <v>0</v>
      </c>
      <c r="O75" s="179">
        <v>0</v>
      </c>
      <c r="P75" s="179">
        <v>0</v>
      </c>
      <c r="Q75" s="179">
        <v>0</v>
      </c>
      <c r="R75" s="179">
        <v>0</v>
      </c>
      <c r="S75" s="179">
        <v>0</v>
      </c>
      <c r="T75" s="179">
        <v>0</v>
      </c>
      <c r="U75" s="179">
        <v>0</v>
      </c>
      <c r="V75" s="179">
        <v>0</v>
      </c>
      <c r="W75" s="179">
        <v>0</v>
      </c>
      <c r="X75" s="179">
        <v>0</v>
      </c>
      <c r="Y75" s="179">
        <v>0</v>
      </c>
      <c r="Z75" s="179">
        <v>0</v>
      </c>
      <c r="AA75" s="179">
        <v>0</v>
      </c>
      <c r="AB75" s="179">
        <v>0</v>
      </c>
      <c r="AC75" s="179">
        <v>0</v>
      </c>
      <c r="AD75" s="179">
        <v>0</v>
      </c>
      <c r="AE75" s="179">
        <v>0</v>
      </c>
      <c r="AF75" s="179">
        <v>0</v>
      </c>
      <c r="AG75" s="179">
        <v>0</v>
      </c>
      <c r="AH75" s="179">
        <v>0</v>
      </c>
      <c r="AI75" s="179">
        <v>0</v>
      </c>
      <c r="AJ75" s="179">
        <v>0</v>
      </c>
      <c r="AK75" s="179">
        <v>0</v>
      </c>
      <c r="AL75" s="179">
        <v>0</v>
      </c>
      <c r="AM75" s="179">
        <v>0</v>
      </c>
      <c r="AN75" s="179">
        <v>0</v>
      </c>
      <c r="AO75" s="179">
        <v>0</v>
      </c>
      <c r="AP75" s="179">
        <v>0</v>
      </c>
      <c r="AQ75" s="179">
        <v>0</v>
      </c>
      <c r="AR75" s="179">
        <v>0</v>
      </c>
      <c r="AS75" s="179">
        <v>0</v>
      </c>
      <c r="AT75" s="185"/>
      <c r="AU75" s="164">
        <f>SUM(C75:AT75)</f>
        <v>0</v>
      </c>
      <c r="AV75" s="164"/>
      <c r="AW75" s="209">
        <f>SUMIF($C$163:$AS$163,"já",C75:AS75)</f>
        <v>0</v>
      </c>
      <c r="AX75" s="209">
        <f>SUMIF($C$163:$AS$163,"nei",C75:AS75)</f>
        <v>0</v>
      </c>
    </row>
    <row r="76" spans="1:50" ht="11.25" customHeight="1" hidden="1" outlineLevel="1">
      <c r="A76" s="174" t="s">
        <v>90</v>
      </c>
      <c r="B76" s="174"/>
      <c r="C76" s="179">
        <v>0</v>
      </c>
      <c r="D76" s="179">
        <v>0</v>
      </c>
      <c r="E76" s="179">
        <v>0</v>
      </c>
      <c r="F76" s="179">
        <v>0</v>
      </c>
      <c r="G76" s="179">
        <v>0</v>
      </c>
      <c r="H76" s="179">
        <v>0</v>
      </c>
      <c r="I76" s="179">
        <v>0</v>
      </c>
      <c r="J76" s="179">
        <v>0</v>
      </c>
      <c r="K76" s="179">
        <v>0</v>
      </c>
      <c r="L76" s="179">
        <v>0</v>
      </c>
      <c r="M76" s="179">
        <v>0</v>
      </c>
      <c r="N76" s="179">
        <v>0</v>
      </c>
      <c r="O76" s="179">
        <v>0</v>
      </c>
      <c r="P76" s="179">
        <v>0</v>
      </c>
      <c r="Q76" s="179">
        <v>0</v>
      </c>
      <c r="R76" s="179">
        <v>0</v>
      </c>
      <c r="S76" s="179">
        <v>0</v>
      </c>
      <c r="T76" s="179">
        <v>0</v>
      </c>
      <c r="U76" s="179">
        <v>0</v>
      </c>
      <c r="V76" s="179">
        <v>0</v>
      </c>
      <c r="W76" s="179">
        <v>0</v>
      </c>
      <c r="X76" s="179">
        <v>0</v>
      </c>
      <c r="Y76" s="179">
        <v>44786</v>
      </c>
      <c r="Z76" s="179">
        <v>0</v>
      </c>
      <c r="AA76" s="179">
        <v>0</v>
      </c>
      <c r="AB76" s="179">
        <v>0</v>
      </c>
      <c r="AC76" s="179">
        <v>0</v>
      </c>
      <c r="AD76" s="179">
        <v>0</v>
      </c>
      <c r="AE76" s="179">
        <v>0</v>
      </c>
      <c r="AF76" s="179">
        <v>0</v>
      </c>
      <c r="AG76" s="179">
        <v>0</v>
      </c>
      <c r="AH76" s="179">
        <v>0</v>
      </c>
      <c r="AI76" s="179">
        <v>0</v>
      </c>
      <c r="AJ76" s="179">
        <v>0</v>
      </c>
      <c r="AK76" s="179">
        <v>0</v>
      </c>
      <c r="AL76" s="179">
        <v>0</v>
      </c>
      <c r="AM76" s="179">
        <v>0</v>
      </c>
      <c r="AN76" s="179">
        <v>0</v>
      </c>
      <c r="AO76" s="179">
        <v>0</v>
      </c>
      <c r="AP76" s="179">
        <v>0</v>
      </c>
      <c r="AQ76" s="179">
        <v>0</v>
      </c>
      <c r="AR76" s="179">
        <v>0</v>
      </c>
      <c r="AS76" s="179">
        <v>0</v>
      </c>
      <c r="AT76" s="185"/>
      <c r="AU76" s="164">
        <f>SUM(C76:AT76)</f>
        <v>44786</v>
      </c>
      <c r="AV76" s="164"/>
      <c r="AW76" s="209">
        <f>SUMIF($C$163:$AS$163,"já",C76:AS76)</f>
        <v>0</v>
      </c>
      <c r="AX76" s="209">
        <f>SUMIF($C$163:$AS$163,"nei",C76:AS76)</f>
        <v>44786</v>
      </c>
    </row>
    <row r="77" spans="1:50" ht="11.25" customHeight="1" hidden="1" outlineLevel="1">
      <c r="A77" s="174" t="s">
        <v>91</v>
      </c>
      <c r="B77" s="174"/>
      <c r="C77" s="179">
        <v>0</v>
      </c>
      <c r="D77" s="179">
        <v>0</v>
      </c>
      <c r="E77" s="179">
        <v>0</v>
      </c>
      <c r="F77" s="179">
        <v>0</v>
      </c>
      <c r="G77" s="179">
        <v>0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79">
        <v>0</v>
      </c>
      <c r="N77" s="179">
        <v>0</v>
      </c>
      <c r="O77" s="179">
        <v>0</v>
      </c>
      <c r="P77" s="179">
        <v>0</v>
      </c>
      <c r="Q77" s="179">
        <v>0</v>
      </c>
      <c r="R77" s="179">
        <v>0</v>
      </c>
      <c r="S77" s="179">
        <v>0</v>
      </c>
      <c r="T77" s="179">
        <v>0</v>
      </c>
      <c r="U77" s="179">
        <v>0</v>
      </c>
      <c r="V77" s="179">
        <v>0</v>
      </c>
      <c r="W77" s="179">
        <v>0</v>
      </c>
      <c r="X77" s="179">
        <v>0</v>
      </c>
      <c r="Y77" s="179">
        <v>0</v>
      </c>
      <c r="Z77" s="179">
        <v>0</v>
      </c>
      <c r="AA77" s="179">
        <v>0</v>
      </c>
      <c r="AB77" s="179">
        <v>0</v>
      </c>
      <c r="AC77" s="179">
        <v>0</v>
      </c>
      <c r="AD77" s="179">
        <v>0</v>
      </c>
      <c r="AE77" s="179">
        <v>0</v>
      </c>
      <c r="AF77" s="179">
        <v>0</v>
      </c>
      <c r="AG77" s="179">
        <v>0</v>
      </c>
      <c r="AH77" s="179">
        <v>0</v>
      </c>
      <c r="AI77" s="179">
        <v>0</v>
      </c>
      <c r="AJ77" s="179">
        <v>0</v>
      </c>
      <c r="AK77" s="179">
        <v>0</v>
      </c>
      <c r="AL77" s="179">
        <v>0</v>
      </c>
      <c r="AM77" s="179">
        <v>0</v>
      </c>
      <c r="AN77" s="179">
        <v>0</v>
      </c>
      <c r="AO77" s="179">
        <v>0</v>
      </c>
      <c r="AP77" s="179">
        <v>0</v>
      </c>
      <c r="AQ77" s="179">
        <v>0</v>
      </c>
      <c r="AR77" s="179">
        <v>0</v>
      </c>
      <c r="AS77" s="179">
        <v>0</v>
      </c>
      <c r="AT77" s="167"/>
      <c r="AU77" s="164">
        <f>SUM(C77:AT77)</f>
        <v>0</v>
      </c>
      <c r="AV77" s="164"/>
      <c r="AW77" s="209">
        <f>SUMIF($C$163:$AS$163,"já",C77:AS77)</f>
        <v>0</v>
      </c>
      <c r="AX77" s="209">
        <f>SUMIF($C$163:$AS$163,"nei",C77:AS77)</f>
        <v>0</v>
      </c>
    </row>
    <row r="78" spans="1:50" ht="11.25" customHeight="1" hidden="1" outlineLevel="1">
      <c r="A78" s="174"/>
      <c r="B78" s="174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67"/>
      <c r="AU78" s="164"/>
      <c r="AV78" s="164"/>
      <c r="AW78" s="210"/>
      <c r="AX78" s="210"/>
    </row>
    <row r="79" spans="1:50" ht="11.25" customHeight="1" hidden="1" outlineLevel="1">
      <c r="A79" s="191" t="s">
        <v>92</v>
      </c>
      <c r="B79" s="191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64"/>
      <c r="AV79" s="164"/>
      <c r="AW79" s="210"/>
      <c r="AX79" s="210"/>
    </row>
    <row r="80" spans="1:50" ht="11.25" customHeight="1" hidden="1" outlineLevel="1">
      <c r="A80" s="174" t="s">
        <v>93</v>
      </c>
      <c r="B80" s="174"/>
      <c r="C80" s="179">
        <v>46523159</v>
      </c>
      <c r="D80" s="179">
        <v>87529827</v>
      </c>
      <c r="E80" s="179">
        <v>137857622</v>
      </c>
      <c r="F80" s="179">
        <v>114571283</v>
      </c>
      <c r="G80" s="179">
        <v>0</v>
      </c>
      <c r="H80" s="179">
        <v>43826580</v>
      </c>
      <c r="I80" s="179">
        <v>16554664</v>
      </c>
      <c r="J80" s="179">
        <v>2246870</v>
      </c>
      <c r="K80" s="179">
        <v>5461233</v>
      </c>
      <c r="L80" s="179">
        <v>46502241</v>
      </c>
      <c r="M80" s="179">
        <v>36549909</v>
      </c>
      <c r="N80" s="179">
        <v>7325867</v>
      </c>
      <c r="O80" s="179">
        <v>19923272</v>
      </c>
      <c r="P80" s="179">
        <v>27817599</v>
      </c>
      <c r="Q80" s="179">
        <v>2579379</v>
      </c>
      <c r="R80" s="179">
        <v>3083926</v>
      </c>
      <c r="S80" s="179">
        <v>6504949</v>
      </c>
      <c r="T80" s="179">
        <v>13155353</v>
      </c>
      <c r="U80" s="179">
        <v>2170767</v>
      </c>
      <c r="V80" s="179">
        <v>11057644</v>
      </c>
      <c r="W80" s="179">
        <v>1183209</v>
      </c>
      <c r="X80" s="179">
        <v>14525292</v>
      </c>
      <c r="Y80" s="179">
        <v>9948246</v>
      </c>
      <c r="Z80" s="179">
        <v>10835617</v>
      </c>
      <c r="AA80" s="179">
        <v>17119923</v>
      </c>
      <c r="AB80" s="179">
        <v>10696897</v>
      </c>
      <c r="AC80" s="179">
        <v>2795916</v>
      </c>
      <c r="AD80" s="179">
        <v>8378980</v>
      </c>
      <c r="AE80" s="179">
        <v>4873466</v>
      </c>
      <c r="AF80" s="179">
        <v>1432609</v>
      </c>
      <c r="AG80" s="179">
        <v>1974022</v>
      </c>
      <c r="AH80" s="179">
        <v>281464</v>
      </c>
      <c r="AI80" s="179">
        <v>1714076</v>
      </c>
      <c r="AJ80" s="179">
        <v>1140442</v>
      </c>
      <c r="AK80" s="179">
        <v>626158</v>
      </c>
      <c r="AL80" s="179">
        <v>1024587</v>
      </c>
      <c r="AM80" s="179">
        <v>5990</v>
      </c>
      <c r="AN80" s="179">
        <v>166406</v>
      </c>
      <c r="AO80" s="179">
        <v>23313</v>
      </c>
      <c r="AP80" s="179">
        <v>193971</v>
      </c>
      <c r="AQ80" s="179">
        <v>119585</v>
      </c>
      <c r="AR80" s="179">
        <v>663</v>
      </c>
      <c r="AS80" s="179">
        <v>0</v>
      </c>
      <c r="AT80" s="185"/>
      <c r="AU80" s="164">
        <f aca="true" t="shared" si="21" ref="AU80:AU85">SUM(C80:AT80)</f>
        <v>720302976</v>
      </c>
      <c r="AV80" s="164"/>
      <c r="AW80" s="209">
        <f aca="true" t="shared" si="22" ref="AW80:AW85">SUMIF($C$163:$AS$163,"já",C80:AS80)</f>
        <v>112236786</v>
      </c>
      <c r="AX80" s="209">
        <f aca="true" t="shared" si="23" ref="AX80:AX85">SUMIF($C$163:$AS$163,"nei",C80:AS80)</f>
        <v>608066190</v>
      </c>
    </row>
    <row r="81" spans="1:50" ht="11.25" customHeight="1" hidden="1" outlineLevel="1">
      <c r="A81" s="174" t="s">
        <v>94</v>
      </c>
      <c r="B81" s="174"/>
      <c r="C81" s="179">
        <v>41974285</v>
      </c>
      <c r="D81" s="179">
        <v>78631671</v>
      </c>
      <c r="E81" s="179">
        <v>82305768</v>
      </c>
      <c r="F81" s="179">
        <v>101028358</v>
      </c>
      <c r="G81" s="179">
        <v>0</v>
      </c>
      <c r="H81" s="179">
        <v>36738771</v>
      </c>
      <c r="I81" s="179">
        <v>7003766</v>
      </c>
      <c r="J81" s="179">
        <v>1384196</v>
      </c>
      <c r="K81" s="179">
        <v>2375603</v>
      </c>
      <c r="L81" s="179">
        <v>39697382</v>
      </c>
      <c r="M81" s="179">
        <v>29508814</v>
      </c>
      <c r="N81" s="179">
        <v>4833973</v>
      </c>
      <c r="O81" s="179">
        <v>32703798</v>
      </c>
      <c r="P81" s="179">
        <v>25417424</v>
      </c>
      <c r="Q81" s="179">
        <v>36306299</v>
      </c>
      <c r="R81" s="179">
        <v>17887166</v>
      </c>
      <c r="S81" s="179">
        <v>3497663</v>
      </c>
      <c r="T81" s="179">
        <v>10019083</v>
      </c>
      <c r="U81" s="179">
        <v>207808</v>
      </c>
      <c r="V81" s="179">
        <v>8375404</v>
      </c>
      <c r="W81" s="179">
        <v>896199</v>
      </c>
      <c r="X81" s="179">
        <v>11945176</v>
      </c>
      <c r="Y81" s="179">
        <v>11264217</v>
      </c>
      <c r="Z81" s="179">
        <v>9928313</v>
      </c>
      <c r="AA81" s="179">
        <v>3655475</v>
      </c>
      <c r="AB81" s="179">
        <v>2133395</v>
      </c>
      <c r="AC81" s="179">
        <v>9623870</v>
      </c>
      <c r="AD81" s="179">
        <v>1582412</v>
      </c>
      <c r="AE81" s="179">
        <v>1965101</v>
      </c>
      <c r="AF81" s="179">
        <v>4350506</v>
      </c>
      <c r="AG81" s="179">
        <v>1912760</v>
      </c>
      <c r="AH81" s="179">
        <v>11937</v>
      </c>
      <c r="AI81" s="179">
        <v>595782</v>
      </c>
      <c r="AJ81" s="179">
        <v>845171</v>
      </c>
      <c r="AK81" s="179">
        <v>145177</v>
      </c>
      <c r="AL81" s="179">
        <v>73678</v>
      </c>
      <c r="AM81" s="179">
        <v>306719</v>
      </c>
      <c r="AN81" s="179">
        <v>272905</v>
      </c>
      <c r="AO81" s="179">
        <v>394631</v>
      </c>
      <c r="AP81" s="179">
        <v>185787</v>
      </c>
      <c r="AQ81" s="179">
        <v>47889</v>
      </c>
      <c r="AR81" s="179">
        <v>0</v>
      </c>
      <c r="AS81" s="179">
        <v>12046</v>
      </c>
      <c r="AT81" s="185"/>
      <c r="AU81" s="164">
        <f t="shared" si="21"/>
        <v>622046378</v>
      </c>
      <c r="AV81" s="164"/>
      <c r="AW81" s="209">
        <f t="shared" si="22"/>
        <v>133360325</v>
      </c>
      <c r="AX81" s="209">
        <f t="shared" si="23"/>
        <v>488686053</v>
      </c>
    </row>
    <row r="82" spans="1:50" ht="11.25" customHeight="1" hidden="1" outlineLevel="1">
      <c r="A82" s="164" t="s">
        <v>95</v>
      </c>
      <c r="B82" s="164"/>
      <c r="C82" s="179">
        <v>15488295</v>
      </c>
      <c r="D82" s="179">
        <v>27724043</v>
      </c>
      <c r="E82" s="179">
        <v>34151055</v>
      </c>
      <c r="F82" s="179">
        <v>10598961</v>
      </c>
      <c r="G82" s="179">
        <v>0</v>
      </c>
      <c r="H82" s="179">
        <v>11059510</v>
      </c>
      <c r="I82" s="179">
        <v>2460680</v>
      </c>
      <c r="J82" s="179">
        <v>551946</v>
      </c>
      <c r="K82" s="179">
        <v>1269588</v>
      </c>
      <c r="L82" s="179">
        <v>1237122</v>
      </c>
      <c r="M82" s="179">
        <v>10447501</v>
      </c>
      <c r="N82" s="179">
        <v>24001</v>
      </c>
      <c r="O82" s="179">
        <v>1796224</v>
      </c>
      <c r="P82" s="179">
        <v>1060803</v>
      </c>
      <c r="Q82" s="179">
        <v>1066183</v>
      </c>
      <c r="R82" s="179">
        <v>1075148</v>
      </c>
      <c r="S82" s="179">
        <v>1140105</v>
      </c>
      <c r="T82" s="179">
        <v>3816195</v>
      </c>
      <c r="U82" s="179">
        <v>0</v>
      </c>
      <c r="V82" s="179">
        <v>4181887</v>
      </c>
      <c r="W82" s="179">
        <v>447478</v>
      </c>
      <c r="X82" s="179">
        <v>405141</v>
      </c>
      <c r="Y82" s="179">
        <v>0</v>
      </c>
      <c r="Z82" s="179">
        <v>2363629</v>
      </c>
      <c r="AA82" s="179">
        <v>351918</v>
      </c>
      <c r="AB82" s="179">
        <v>2544907</v>
      </c>
      <c r="AC82" s="179">
        <v>317206</v>
      </c>
      <c r="AD82" s="179">
        <v>62975</v>
      </c>
      <c r="AE82" s="179">
        <v>0</v>
      </c>
      <c r="AF82" s="179">
        <v>55777</v>
      </c>
      <c r="AG82" s="179">
        <v>0</v>
      </c>
      <c r="AH82" s="179">
        <v>0</v>
      </c>
      <c r="AI82" s="179">
        <v>168245</v>
      </c>
      <c r="AJ82" s="179">
        <v>256904</v>
      </c>
      <c r="AK82" s="179">
        <v>33216</v>
      </c>
      <c r="AL82" s="179">
        <v>27015</v>
      </c>
      <c r="AM82" s="179">
        <v>12411</v>
      </c>
      <c r="AN82" s="179">
        <v>11308</v>
      </c>
      <c r="AO82" s="179">
        <v>10737</v>
      </c>
      <c r="AP82" s="179">
        <v>33133</v>
      </c>
      <c r="AQ82" s="179">
        <v>4377</v>
      </c>
      <c r="AR82" s="179">
        <v>714</v>
      </c>
      <c r="AS82" s="179">
        <v>10281</v>
      </c>
      <c r="AT82" s="185"/>
      <c r="AU82" s="164">
        <f t="shared" si="21"/>
        <v>136266619</v>
      </c>
      <c r="AV82" s="164"/>
      <c r="AW82" s="209">
        <f t="shared" si="22"/>
        <v>31754825</v>
      </c>
      <c r="AX82" s="209">
        <f t="shared" si="23"/>
        <v>104511794</v>
      </c>
    </row>
    <row r="83" spans="1:50" ht="11.25" customHeight="1" hidden="1" outlineLevel="1">
      <c r="A83" s="164" t="s">
        <v>96</v>
      </c>
      <c r="B83" s="164"/>
      <c r="C83" s="179">
        <v>0</v>
      </c>
      <c r="D83" s="179">
        <v>0</v>
      </c>
      <c r="E83" s="179">
        <v>0</v>
      </c>
      <c r="F83" s="179">
        <v>0</v>
      </c>
      <c r="G83" s="179">
        <v>0</v>
      </c>
      <c r="H83" s="179">
        <v>0</v>
      </c>
      <c r="I83" s="179">
        <v>0</v>
      </c>
      <c r="J83" s="179">
        <v>0</v>
      </c>
      <c r="K83" s="179">
        <v>0</v>
      </c>
      <c r="L83" s="179">
        <v>0</v>
      </c>
      <c r="M83" s="179">
        <v>0</v>
      </c>
      <c r="N83" s="179">
        <v>0</v>
      </c>
      <c r="O83" s="179">
        <v>0</v>
      </c>
      <c r="P83" s="179">
        <v>0</v>
      </c>
      <c r="Q83" s="179">
        <v>0</v>
      </c>
      <c r="R83" s="179">
        <v>0</v>
      </c>
      <c r="S83" s="179">
        <v>0</v>
      </c>
      <c r="T83" s="179">
        <v>0</v>
      </c>
      <c r="U83" s="179">
        <v>0</v>
      </c>
      <c r="V83" s="179">
        <v>0</v>
      </c>
      <c r="W83" s="179">
        <v>0</v>
      </c>
      <c r="X83" s="179">
        <v>0</v>
      </c>
      <c r="Y83" s="179">
        <v>0</v>
      </c>
      <c r="Z83" s="179">
        <v>0</v>
      </c>
      <c r="AA83" s="179">
        <v>379884</v>
      </c>
      <c r="AB83" s="179">
        <v>0</v>
      </c>
      <c r="AC83" s="179">
        <v>0</v>
      </c>
      <c r="AD83" s="179">
        <v>0</v>
      </c>
      <c r="AE83" s="179">
        <v>0</v>
      </c>
      <c r="AF83" s="179">
        <v>0</v>
      </c>
      <c r="AG83" s="179">
        <v>0</v>
      </c>
      <c r="AH83" s="179">
        <v>0</v>
      </c>
      <c r="AI83" s="179">
        <v>0</v>
      </c>
      <c r="AJ83" s="179">
        <v>0</v>
      </c>
      <c r="AK83" s="179">
        <v>0</v>
      </c>
      <c r="AL83" s="179">
        <v>0</v>
      </c>
      <c r="AM83" s="179">
        <v>0</v>
      </c>
      <c r="AN83" s="179">
        <v>0</v>
      </c>
      <c r="AO83" s="179">
        <v>0</v>
      </c>
      <c r="AP83" s="179">
        <v>0</v>
      </c>
      <c r="AQ83" s="179">
        <v>0</v>
      </c>
      <c r="AR83" s="179">
        <v>0</v>
      </c>
      <c r="AS83" s="179">
        <v>0</v>
      </c>
      <c r="AT83" s="185"/>
      <c r="AU83" s="164">
        <f t="shared" si="21"/>
        <v>379884</v>
      </c>
      <c r="AV83" s="164"/>
      <c r="AW83" s="209">
        <f t="shared" si="22"/>
        <v>0</v>
      </c>
      <c r="AX83" s="209">
        <f t="shared" si="23"/>
        <v>379884</v>
      </c>
    </row>
    <row r="84" spans="1:50" ht="11.25" customHeight="1" hidden="1" outlineLevel="1">
      <c r="A84" s="174" t="s">
        <v>97</v>
      </c>
      <c r="B84" s="174"/>
      <c r="C84" s="179">
        <v>0</v>
      </c>
      <c r="D84" s="179">
        <v>0</v>
      </c>
      <c r="E84" s="179">
        <v>0</v>
      </c>
      <c r="F84" s="179">
        <v>0</v>
      </c>
      <c r="G84" s="179">
        <v>0</v>
      </c>
      <c r="H84" s="179">
        <v>0</v>
      </c>
      <c r="I84" s="179">
        <v>0</v>
      </c>
      <c r="J84" s="179">
        <v>0</v>
      </c>
      <c r="K84" s="179">
        <v>0</v>
      </c>
      <c r="L84" s="179">
        <v>979731</v>
      </c>
      <c r="M84" s="179">
        <v>0</v>
      </c>
      <c r="N84" s="179">
        <v>0</v>
      </c>
      <c r="O84" s="179">
        <v>0</v>
      </c>
      <c r="P84" s="179">
        <v>460008</v>
      </c>
      <c r="Q84" s="179">
        <v>0</v>
      </c>
      <c r="R84" s="179">
        <v>3640360</v>
      </c>
      <c r="S84" s="179">
        <v>0</v>
      </c>
      <c r="T84" s="179">
        <v>1521016</v>
      </c>
      <c r="U84" s="179">
        <v>0</v>
      </c>
      <c r="V84" s="179">
        <v>705948</v>
      </c>
      <c r="W84" s="179">
        <v>75539</v>
      </c>
      <c r="X84" s="179">
        <v>0</v>
      </c>
      <c r="Y84" s="179">
        <v>824893</v>
      </c>
      <c r="Z84" s="179">
        <v>0</v>
      </c>
      <c r="AA84" s="179">
        <v>0</v>
      </c>
      <c r="AB84" s="179">
        <v>0</v>
      </c>
      <c r="AC84" s="179">
        <v>0</v>
      </c>
      <c r="AD84" s="179">
        <v>0</v>
      </c>
      <c r="AE84" s="179">
        <v>0</v>
      </c>
      <c r="AF84" s="179">
        <v>0</v>
      </c>
      <c r="AG84" s="179">
        <v>0</v>
      </c>
      <c r="AH84" s="179">
        <v>0</v>
      </c>
      <c r="AI84" s="179">
        <v>0</v>
      </c>
      <c r="AJ84" s="179">
        <v>0</v>
      </c>
      <c r="AK84" s="179">
        <v>0</v>
      </c>
      <c r="AL84" s="179">
        <v>0</v>
      </c>
      <c r="AM84" s="179">
        <v>442658</v>
      </c>
      <c r="AN84" s="179">
        <v>16068</v>
      </c>
      <c r="AO84" s="179">
        <v>0</v>
      </c>
      <c r="AP84" s="179">
        <v>34440</v>
      </c>
      <c r="AQ84" s="179">
        <v>0</v>
      </c>
      <c r="AR84" s="179">
        <v>0</v>
      </c>
      <c r="AS84" s="179">
        <v>0</v>
      </c>
      <c r="AT84" s="185"/>
      <c r="AU84" s="164">
        <f t="shared" si="21"/>
        <v>8700661</v>
      </c>
      <c r="AV84" s="164"/>
      <c r="AW84" s="209">
        <f t="shared" si="22"/>
        <v>50508</v>
      </c>
      <c r="AX84" s="209">
        <f t="shared" si="23"/>
        <v>8650153</v>
      </c>
    </row>
    <row r="85" spans="1:50" ht="11.25" customHeight="1" hidden="1" outlineLevel="1">
      <c r="A85" s="164" t="s">
        <v>92</v>
      </c>
      <c r="B85" s="164"/>
      <c r="C85" s="179">
        <v>0</v>
      </c>
      <c r="D85" s="179">
        <v>0</v>
      </c>
      <c r="E85" s="179">
        <v>0</v>
      </c>
      <c r="F85" s="179">
        <v>10955</v>
      </c>
      <c r="G85" s="179">
        <v>0</v>
      </c>
      <c r="H85" s="179">
        <v>0</v>
      </c>
      <c r="I85" s="179">
        <v>0</v>
      </c>
      <c r="J85" s="179">
        <v>0</v>
      </c>
      <c r="K85" s="179">
        <v>2760</v>
      </c>
      <c r="L85" s="179">
        <v>0</v>
      </c>
      <c r="M85" s="179">
        <v>172518</v>
      </c>
      <c r="N85" s="179">
        <v>14788</v>
      </c>
      <c r="O85" s="179">
        <v>749</v>
      </c>
      <c r="P85" s="179">
        <v>0</v>
      </c>
      <c r="Q85" s="179">
        <v>0</v>
      </c>
      <c r="R85" s="179">
        <v>0</v>
      </c>
      <c r="S85" s="179">
        <v>0</v>
      </c>
      <c r="T85" s="179">
        <v>0</v>
      </c>
      <c r="U85" s="179">
        <v>0</v>
      </c>
      <c r="V85" s="179">
        <v>0</v>
      </c>
      <c r="W85" s="179">
        <v>0</v>
      </c>
      <c r="X85" s="179">
        <v>0</v>
      </c>
      <c r="Y85" s="179">
        <v>879756</v>
      </c>
      <c r="Z85" s="179">
        <v>0</v>
      </c>
      <c r="AA85" s="179">
        <v>0</v>
      </c>
      <c r="AB85" s="179">
        <v>0</v>
      </c>
      <c r="AC85" s="179">
        <v>0</v>
      </c>
      <c r="AD85" s="179">
        <v>0</v>
      </c>
      <c r="AE85" s="179">
        <v>0</v>
      </c>
      <c r="AF85" s="179">
        <v>0</v>
      </c>
      <c r="AG85" s="179">
        <v>0</v>
      </c>
      <c r="AH85" s="179">
        <v>0</v>
      </c>
      <c r="AI85" s="179">
        <v>0</v>
      </c>
      <c r="AJ85" s="179">
        <v>0</v>
      </c>
      <c r="AK85" s="179">
        <v>0</v>
      </c>
      <c r="AL85" s="179">
        <v>0</v>
      </c>
      <c r="AM85" s="179">
        <v>-5000</v>
      </c>
      <c r="AN85" s="179">
        <v>0</v>
      </c>
      <c r="AO85" s="179">
        <v>0</v>
      </c>
      <c r="AP85" s="179">
        <v>0</v>
      </c>
      <c r="AQ85" s="179">
        <v>0</v>
      </c>
      <c r="AR85" s="179">
        <v>0</v>
      </c>
      <c r="AS85" s="179">
        <v>0</v>
      </c>
      <c r="AT85" s="185"/>
      <c r="AU85" s="164">
        <f t="shared" si="21"/>
        <v>1076526</v>
      </c>
      <c r="AV85" s="164"/>
      <c r="AW85" s="209">
        <f t="shared" si="22"/>
        <v>0</v>
      </c>
      <c r="AX85" s="209">
        <f t="shared" si="23"/>
        <v>1076526</v>
      </c>
    </row>
    <row r="86" spans="1:50" ht="11.25" customHeight="1" hidden="1" outlineLevel="1">
      <c r="A86" s="177" t="s">
        <v>98</v>
      </c>
      <c r="B86" s="177"/>
      <c r="C86" s="185">
        <f>SUM(C80:C85)</f>
        <v>103985739</v>
      </c>
      <c r="D86" s="185">
        <f aca="true" t="shared" si="24" ref="D86:AS86">SUM(D80:D85)</f>
        <v>193885541</v>
      </c>
      <c r="E86" s="185">
        <f t="shared" si="24"/>
        <v>254314445</v>
      </c>
      <c r="F86" s="185">
        <f t="shared" si="24"/>
        <v>226209557</v>
      </c>
      <c r="G86" s="185">
        <f t="shared" si="24"/>
        <v>0</v>
      </c>
      <c r="H86" s="185">
        <f t="shared" si="24"/>
        <v>91624861</v>
      </c>
      <c r="I86" s="185">
        <f t="shared" si="24"/>
        <v>26019110</v>
      </c>
      <c r="J86" s="185">
        <f t="shared" si="24"/>
        <v>4183012</v>
      </c>
      <c r="K86" s="185">
        <f t="shared" si="24"/>
        <v>9109184</v>
      </c>
      <c r="L86" s="185">
        <f>SUM(L80:L85)</f>
        <v>88416476</v>
      </c>
      <c r="M86" s="185">
        <f t="shared" si="24"/>
        <v>76678742</v>
      </c>
      <c r="N86" s="185">
        <f t="shared" si="24"/>
        <v>12198629</v>
      </c>
      <c r="O86" s="185">
        <f t="shared" si="24"/>
        <v>54424043</v>
      </c>
      <c r="P86" s="185">
        <f t="shared" si="24"/>
        <v>54755834</v>
      </c>
      <c r="Q86" s="185">
        <f>SUM(Q80:Q85)</f>
        <v>39951861</v>
      </c>
      <c r="R86" s="185">
        <f t="shared" si="24"/>
        <v>25686600</v>
      </c>
      <c r="S86" s="185">
        <f t="shared" si="24"/>
        <v>11142717</v>
      </c>
      <c r="T86" s="185">
        <f t="shared" si="24"/>
        <v>28511647</v>
      </c>
      <c r="U86" s="185">
        <f>SUM(U80:U85)</f>
        <v>2378575</v>
      </c>
      <c r="V86" s="185">
        <f t="shared" si="24"/>
        <v>24320883</v>
      </c>
      <c r="W86" s="185">
        <f t="shared" si="24"/>
        <v>2602425</v>
      </c>
      <c r="X86" s="185">
        <f>SUM(X80:X85)</f>
        <v>26875609</v>
      </c>
      <c r="Y86" s="185">
        <f>SUM(Y80:Y85)</f>
        <v>22917112</v>
      </c>
      <c r="Z86" s="185">
        <f t="shared" si="24"/>
        <v>23127559</v>
      </c>
      <c r="AA86" s="185">
        <f t="shared" si="24"/>
        <v>21507200</v>
      </c>
      <c r="AB86" s="185">
        <f t="shared" si="24"/>
        <v>15375199</v>
      </c>
      <c r="AC86" s="185">
        <f t="shared" si="24"/>
        <v>12736992</v>
      </c>
      <c r="AD86" s="185">
        <f>SUM(AD80:AD85)</f>
        <v>10024367</v>
      </c>
      <c r="AE86" s="185">
        <f t="shared" si="24"/>
        <v>6838567</v>
      </c>
      <c r="AF86" s="185">
        <f>SUM(AF80:AF85)</f>
        <v>5838892</v>
      </c>
      <c r="AG86" s="185">
        <f t="shared" si="24"/>
        <v>3886782</v>
      </c>
      <c r="AH86" s="185">
        <f aca="true" t="shared" si="25" ref="AH86:AQ86">SUM(AH80:AH85)</f>
        <v>293401</v>
      </c>
      <c r="AI86" s="185">
        <f t="shared" si="25"/>
        <v>2478103</v>
      </c>
      <c r="AJ86" s="185">
        <f>SUM(AJ80:AJ85)</f>
        <v>2242517</v>
      </c>
      <c r="AK86" s="185">
        <f t="shared" si="25"/>
        <v>804551</v>
      </c>
      <c r="AL86" s="185">
        <f t="shared" si="25"/>
        <v>1125280</v>
      </c>
      <c r="AM86" s="185">
        <f t="shared" si="25"/>
        <v>762778</v>
      </c>
      <c r="AN86" s="185">
        <f t="shared" si="25"/>
        <v>466687</v>
      </c>
      <c r="AO86" s="185">
        <f t="shared" si="25"/>
        <v>428681</v>
      </c>
      <c r="AP86" s="185">
        <f t="shared" si="25"/>
        <v>447331</v>
      </c>
      <c r="AQ86" s="185">
        <f t="shared" si="25"/>
        <v>171851</v>
      </c>
      <c r="AR86" s="185">
        <f t="shared" si="24"/>
        <v>1377</v>
      </c>
      <c r="AS86" s="185">
        <f t="shared" si="24"/>
        <v>22327</v>
      </c>
      <c r="AT86" s="185"/>
      <c r="AU86" s="185">
        <f>SUM(AU80:AU85)</f>
        <v>1488773044</v>
      </c>
      <c r="AV86" s="185"/>
      <c r="AW86" s="209">
        <f>SUM(AW80:AW85)</f>
        <v>277402444</v>
      </c>
      <c r="AX86" s="209">
        <f>SUM(AX80:AX85)</f>
        <v>1211370600</v>
      </c>
    </row>
    <row r="87" spans="1:50" ht="11.25" customHeight="1" collapsed="1">
      <c r="A87" s="176" t="s">
        <v>99</v>
      </c>
      <c r="B87" s="176"/>
      <c r="C87" s="185">
        <f>SUM(C74:C77)+C68+C71+C86</f>
        <v>104049892</v>
      </c>
      <c r="D87" s="185">
        <f aca="true" t="shared" si="26" ref="D87:AS87">SUM(D74:D77)+D68+D71+D86</f>
        <v>193949694</v>
      </c>
      <c r="E87" s="185">
        <f t="shared" si="26"/>
        <v>254595169</v>
      </c>
      <c r="F87" s="185">
        <f t="shared" si="26"/>
        <v>226409635</v>
      </c>
      <c r="G87" s="185">
        <f t="shared" si="26"/>
        <v>0</v>
      </c>
      <c r="H87" s="185">
        <f t="shared" si="26"/>
        <v>91769273</v>
      </c>
      <c r="I87" s="185">
        <f t="shared" si="26"/>
        <v>26019110</v>
      </c>
      <c r="J87" s="185">
        <f t="shared" si="26"/>
        <v>4183012</v>
      </c>
      <c r="K87" s="185">
        <f t="shared" si="26"/>
        <v>9109184</v>
      </c>
      <c r="L87" s="185">
        <f>SUM(L74:L77)+L68+L71+L86</f>
        <v>88512610</v>
      </c>
      <c r="M87" s="185">
        <f t="shared" si="26"/>
        <v>76742756</v>
      </c>
      <c r="N87" s="185">
        <f t="shared" si="26"/>
        <v>12198629</v>
      </c>
      <c r="O87" s="185">
        <f t="shared" si="26"/>
        <v>54424043</v>
      </c>
      <c r="P87" s="185">
        <f t="shared" si="26"/>
        <v>54783555</v>
      </c>
      <c r="Q87" s="185">
        <f>SUM(Q74:Q77)+Q68+Q71+Q86</f>
        <v>39951861</v>
      </c>
      <c r="R87" s="185">
        <f t="shared" si="26"/>
        <v>25686600</v>
      </c>
      <c r="S87" s="185">
        <f t="shared" si="26"/>
        <v>11142717</v>
      </c>
      <c r="T87" s="185">
        <f t="shared" si="26"/>
        <v>28511647</v>
      </c>
      <c r="U87" s="185">
        <f>SUM(U74:U77)+U68+U71+U86</f>
        <v>2378575</v>
      </c>
      <c r="V87" s="185">
        <f t="shared" si="26"/>
        <v>24320883</v>
      </c>
      <c r="W87" s="185">
        <f t="shared" si="26"/>
        <v>2602425</v>
      </c>
      <c r="X87" s="185">
        <f>SUM(X74:X77)+X68+X71+X86</f>
        <v>26910203</v>
      </c>
      <c r="Y87" s="185">
        <f>SUM(Y74:Y77)+Y68+Y71+Y86</f>
        <v>22984241</v>
      </c>
      <c r="Z87" s="185">
        <f t="shared" si="26"/>
        <v>23141815</v>
      </c>
      <c r="AA87" s="185">
        <f t="shared" si="26"/>
        <v>21507200</v>
      </c>
      <c r="AB87" s="185">
        <f t="shared" si="26"/>
        <v>15392411</v>
      </c>
      <c r="AC87" s="185">
        <f t="shared" si="26"/>
        <v>12736992</v>
      </c>
      <c r="AD87" s="185">
        <f>SUM(AD74:AD77)+AD68+AD71+AD86</f>
        <v>10024367</v>
      </c>
      <c r="AE87" s="185">
        <f t="shared" si="26"/>
        <v>6838567</v>
      </c>
      <c r="AF87" s="185">
        <f>SUM(AF74:AF77)+AF68+AF71+AF86</f>
        <v>5838892</v>
      </c>
      <c r="AG87" s="185">
        <f t="shared" si="26"/>
        <v>3898513</v>
      </c>
      <c r="AH87" s="185">
        <f aca="true" t="shared" si="27" ref="AH87:AQ87">SUM(AH74:AH77)+AH68+AH71+AH86</f>
        <v>293401</v>
      </c>
      <c r="AI87" s="185">
        <f t="shared" si="27"/>
        <v>2499103</v>
      </c>
      <c r="AJ87" s="185">
        <f>SUM(AJ74:AJ77)+AJ68+AJ71+AJ86</f>
        <v>2242517</v>
      </c>
      <c r="AK87" s="185">
        <f t="shared" si="27"/>
        <v>804551</v>
      </c>
      <c r="AL87" s="185">
        <f t="shared" si="27"/>
        <v>1125280</v>
      </c>
      <c r="AM87" s="185">
        <f t="shared" si="27"/>
        <v>762778</v>
      </c>
      <c r="AN87" s="185">
        <f t="shared" si="27"/>
        <v>466687</v>
      </c>
      <c r="AO87" s="185">
        <f t="shared" si="27"/>
        <v>428681</v>
      </c>
      <c r="AP87" s="185">
        <f t="shared" si="27"/>
        <v>447331</v>
      </c>
      <c r="AQ87" s="185">
        <f t="shared" si="27"/>
        <v>171851</v>
      </c>
      <c r="AR87" s="185">
        <f t="shared" si="26"/>
        <v>1377</v>
      </c>
      <c r="AS87" s="185">
        <f t="shared" si="26"/>
        <v>22327</v>
      </c>
      <c r="AT87" s="185"/>
      <c r="AU87" s="185">
        <f>SUM(AU74:AU77)+AU68+AU71+AU86</f>
        <v>1489880355</v>
      </c>
      <c r="AV87" s="185"/>
      <c r="AW87" s="209">
        <f>SUM(AW74:AW77)+AW68+AW71+AW86</f>
        <v>277501853</v>
      </c>
      <c r="AX87" s="209">
        <f>SUM(AX74:AX77)+AX68+AX71+AX86</f>
        <v>1212378502</v>
      </c>
    </row>
    <row r="88" spans="1:50" ht="11.25" customHeight="1">
      <c r="A88" s="176"/>
      <c r="B88" s="176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67"/>
      <c r="AU88" s="164"/>
      <c r="AV88" s="164"/>
      <c r="AW88" s="210"/>
      <c r="AX88" s="210"/>
    </row>
    <row r="89" spans="1:50" ht="11.25" customHeight="1" hidden="1" outlineLevel="1">
      <c r="A89" s="176" t="s">
        <v>100</v>
      </c>
      <c r="B89" s="176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64"/>
      <c r="AV89" s="164"/>
      <c r="AW89" s="210"/>
      <c r="AX89" s="210"/>
    </row>
    <row r="90" spans="1:50" ht="11.25" customHeight="1" hidden="1" outlineLevel="1">
      <c r="A90" s="174" t="s">
        <v>101</v>
      </c>
      <c r="B90" s="174"/>
      <c r="C90" s="179">
        <v>0</v>
      </c>
      <c r="D90" s="179">
        <v>0</v>
      </c>
      <c r="E90" s="179">
        <v>0</v>
      </c>
      <c r="F90" s="179">
        <v>0</v>
      </c>
      <c r="G90" s="179">
        <v>9710084</v>
      </c>
      <c r="H90" s="179">
        <v>0</v>
      </c>
      <c r="I90" s="179">
        <v>0</v>
      </c>
      <c r="J90" s="179">
        <v>0</v>
      </c>
      <c r="K90" s="179">
        <v>0</v>
      </c>
      <c r="L90" s="179">
        <v>0</v>
      </c>
      <c r="M90" s="179">
        <v>0</v>
      </c>
      <c r="N90" s="179">
        <v>0</v>
      </c>
      <c r="O90" s="179">
        <v>0</v>
      </c>
      <c r="P90" s="179">
        <v>0</v>
      </c>
      <c r="Q90" s="179">
        <v>0</v>
      </c>
      <c r="R90" s="179">
        <v>0</v>
      </c>
      <c r="S90" s="179">
        <v>0</v>
      </c>
      <c r="T90" s="179">
        <v>0</v>
      </c>
      <c r="U90" s="179">
        <v>0</v>
      </c>
      <c r="V90" s="179">
        <v>0</v>
      </c>
      <c r="W90" s="179">
        <v>0</v>
      </c>
      <c r="X90" s="179">
        <v>2896</v>
      </c>
      <c r="Y90" s="179">
        <v>0</v>
      </c>
      <c r="Z90" s="179">
        <v>0</v>
      </c>
      <c r="AA90" s="179">
        <v>0</v>
      </c>
      <c r="AB90" s="179">
        <v>0</v>
      </c>
      <c r="AC90" s="179">
        <v>0</v>
      </c>
      <c r="AD90" s="179">
        <v>0</v>
      </c>
      <c r="AE90" s="179">
        <v>0</v>
      </c>
      <c r="AF90" s="179">
        <v>0</v>
      </c>
      <c r="AG90" s="179">
        <v>0</v>
      </c>
      <c r="AH90" s="179">
        <v>0</v>
      </c>
      <c r="AI90" s="179">
        <v>0</v>
      </c>
      <c r="AJ90" s="179">
        <v>0</v>
      </c>
      <c r="AK90" s="179">
        <v>0</v>
      </c>
      <c r="AL90" s="179">
        <v>0</v>
      </c>
      <c r="AM90" s="179">
        <v>0</v>
      </c>
      <c r="AN90" s="179">
        <v>0</v>
      </c>
      <c r="AO90" s="179">
        <v>0</v>
      </c>
      <c r="AP90" s="179">
        <v>0</v>
      </c>
      <c r="AQ90" s="179">
        <v>0</v>
      </c>
      <c r="AR90" s="179">
        <v>0</v>
      </c>
      <c r="AS90" s="179">
        <v>0</v>
      </c>
      <c r="AT90" s="185"/>
      <c r="AU90" s="164">
        <f>SUM(C90:AT90)</f>
        <v>9712980</v>
      </c>
      <c r="AV90" s="164"/>
      <c r="AW90" s="209">
        <f>SUMIF($C$163:$AS$163,"já",C90:AS90)</f>
        <v>0</v>
      </c>
      <c r="AX90" s="209">
        <f>SUMIF($C$163:$AS$163,"nei",C90:AS90)</f>
        <v>9712980</v>
      </c>
    </row>
    <row r="91" spans="1:50" ht="11.25" customHeight="1" hidden="1" outlineLevel="1">
      <c r="A91" s="174" t="s">
        <v>102</v>
      </c>
      <c r="B91" s="174"/>
      <c r="C91" s="179">
        <v>869971</v>
      </c>
      <c r="D91" s="179">
        <v>590677</v>
      </c>
      <c r="E91" s="179">
        <v>1748000</v>
      </c>
      <c r="F91" s="179">
        <v>1125495</v>
      </c>
      <c r="G91" s="179">
        <v>303901</v>
      </c>
      <c r="H91" s="179">
        <v>0</v>
      </c>
      <c r="I91" s="179">
        <v>0</v>
      </c>
      <c r="J91" s="179">
        <v>0</v>
      </c>
      <c r="K91" s="179">
        <v>255759</v>
      </c>
      <c r="L91" s="179">
        <v>505670</v>
      </c>
      <c r="M91" s="179">
        <v>401796</v>
      </c>
      <c r="N91" s="179">
        <v>83126</v>
      </c>
      <c r="O91" s="179">
        <v>800408</v>
      </c>
      <c r="P91" s="179">
        <v>525734</v>
      </c>
      <c r="Q91" s="179">
        <v>182731</v>
      </c>
      <c r="R91" s="179">
        <v>0</v>
      </c>
      <c r="S91" s="179">
        <v>0</v>
      </c>
      <c r="T91" s="179">
        <v>20839</v>
      </c>
      <c r="U91" s="179">
        <v>63325</v>
      </c>
      <c r="V91" s="179">
        <v>263213</v>
      </c>
      <c r="W91" s="179">
        <v>28165</v>
      </c>
      <c r="X91" s="179">
        <v>383884</v>
      </c>
      <c r="Y91" s="179">
        <v>58387</v>
      </c>
      <c r="Z91" s="179">
        <v>25176</v>
      </c>
      <c r="AA91" s="179">
        <v>33599</v>
      </c>
      <c r="AB91" s="179">
        <v>70711</v>
      </c>
      <c r="AC91" s="179">
        <v>0</v>
      </c>
      <c r="AD91" s="179">
        <v>0</v>
      </c>
      <c r="AE91" s="179">
        <v>339517</v>
      </c>
      <c r="AF91" s="179">
        <v>22165</v>
      </c>
      <c r="AG91" s="179">
        <v>23035</v>
      </c>
      <c r="AH91" s="179">
        <v>0</v>
      </c>
      <c r="AI91" s="179">
        <v>0</v>
      </c>
      <c r="AJ91" s="179">
        <v>0</v>
      </c>
      <c r="AK91" s="179">
        <v>1365</v>
      </c>
      <c r="AL91" s="179">
        <v>1794</v>
      </c>
      <c r="AM91" s="179">
        <v>0</v>
      </c>
      <c r="AN91" s="179">
        <v>0</v>
      </c>
      <c r="AO91" s="179">
        <v>0</v>
      </c>
      <c r="AP91" s="179">
        <v>3333</v>
      </c>
      <c r="AQ91" s="179">
        <v>0</v>
      </c>
      <c r="AR91" s="179">
        <v>0</v>
      </c>
      <c r="AS91" s="179">
        <v>0</v>
      </c>
      <c r="AT91" s="185"/>
      <c r="AU91" s="164">
        <f>SUM(C91:AT91)</f>
        <v>8731776</v>
      </c>
      <c r="AV91" s="164"/>
      <c r="AW91" s="209">
        <f>SUMIF($C$163:$AS$163,"já",C91:AS91)</f>
        <v>1166758</v>
      </c>
      <c r="AX91" s="209">
        <f>SUMIF($C$163:$AS$163,"nei",C91:AS91)</f>
        <v>7565018</v>
      </c>
    </row>
    <row r="92" spans="1:50" ht="11.25" customHeight="1" hidden="1" outlineLevel="1">
      <c r="A92" s="164" t="s">
        <v>103</v>
      </c>
      <c r="B92" s="164"/>
      <c r="C92" s="179">
        <v>986</v>
      </c>
      <c r="D92" s="179">
        <v>36240</v>
      </c>
      <c r="E92" s="179">
        <v>706321</v>
      </c>
      <c r="F92" s="179">
        <v>809191</v>
      </c>
      <c r="G92" s="179">
        <v>0</v>
      </c>
      <c r="H92" s="179">
        <v>3364</v>
      </c>
      <c r="I92" s="179">
        <v>25959</v>
      </c>
      <c r="J92" s="179">
        <v>6064</v>
      </c>
      <c r="K92" s="179">
        <v>39623</v>
      </c>
      <c r="L92" s="179">
        <v>141881</v>
      </c>
      <c r="M92" s="179">
        <v>2679</v>
      </c>
      <c r="N92" s="179">
        <v>2521</v>
      </c>
      <c r="O92" s="179">
        <v>0</v>
      </c>
      <c r="P92" s="179">
        <v>37286</v>
      </c>
      <c r="Q92" s="179">
        <v>0</v>
      </c>
      <c r="R92" s="179">
        <v>13957</v>
      </c>
      <c r="S92" s="179">
        <v>54351</v>
      </c>
      <c r="T92" s="179">
        <v>2</v>
      </c>
      <c r="U92" s="179">
        <v>1768</v>
      </c>
      <c r="V92" s="179">
        <v>19069</v>
      </c>
      <c r="W92" s="179">
        <v>2041</v>
      </c>
      <c r="X92" s="179">
        <v>16749</v>
      </c>
      <c r="Y92" s="179">
        <v>19915</v>
      </c>
      <c r="Z92" s="179">
        <v>0</v>
      </c>
      <c r="AA92" s="179">
        <v>37363</v>
      </c>
      <c r="AB92" s="179">
        <v>5223</v>
      </c>
      <c r="AC92" s="179">
        <v>23711</v>
      </c>
      <c r="AD92" s="179">
        <v>52327</v>
      </c>
      <c r="AE92" s="179">
        <v>18981</v>
      </c>
      <c r="AF92" s="179">
        <v>0</v>
      </c>
      <c r="AG92" s="179">
        <v>0</v>
      </c>
      <c r="AH92" s="179">
        <v>10176</v>
      </c>
      <c r="AI92" s="179">
        <v>0</v>
      </c>
      <c r="AJ92" s="179">
        <v>8409</v>
      </c>
      <c r="AK92" s="179">
        <v>1401938</v>
      </c>
      <c r="AL92" s="179">
        <v>6783</v>
      </c>
      <c r="AM92" s="179">
        <v>81</v>
      </c>
      <c r="AN92" s="179">
        <v>0</v>
      </c>
      <c r="AO92" s="179">
        <v>0</v>
      </c>
      <c r="AP92" s="179">
        <v>0</v>
      </c>
      <c r="AQ92" s="179">
        <v>1863</v>
      </c>
      <c r="AR92" s="179">
        <v>0</v>
      </c>
      <c r="AS92" s="179">
        <v>0</v>
      </c>
      <c r="AT92" s="185"/>
      <c r="AU92" s="164">
        <f>SUM(C92:AT92)</f>
        <v>3506822</v>
      </c>
      <c r="AV92" s="164"/>
      <c r="AW92" s="209">
        <f>SUMIF($C$163:$AS$163,"já",C92:AS92)</f>
        <v>1474214</v>
      </c>
      <c r="AX92" s="209">
        <f>SUMIF($C$163:$AS$163,"nei",C92:AS92)</f>
        <v>2032608</v>
      </c>
    </row>
    <row r="93" spans="1:50" ht="11.25" customHeight="1" collapsed="1">
      <c r="A93" s="176" t="s">
        <v>104</v>
      </c>
      <c r="B93" s="176"/>
      <c r="C93" s="185">
        <f>SUM(C90:C92)</f>
        <v>870957</v>
      </c>
      <c r="D93" s="185">
        <f aca="true" t="shared" si="28" ref="D93:AS93">SUM(D90:D92)</f>
        <v>626917</v>
      </c>
      <c r="E93" s="185">
        <f t="shared" si="28"/>
        <v>2454321</v>
      </c>
      <c r="F93" s="185">
        <f t="shared" si="28"/>
        <v>1934686</v>
      </c>
      <c r="G93" s="185">
        <f t="shared" si="28"/>
        <v>10013985</v>
      </c>
      <c r="H93" s="185">
        <f t="shared" si="28"/>
        <v>3364</v>
      </c>
      <c r="I93" s="185">
        <f t="shared" si="28"/>
        <v>25959</v>
      </c>
      <c r="J93" s="185">
        <f t="shared" si="28"/>
        <v>6064</v>
      </c>
      <c r="K93" s="185">
        <f t="shared" si="28"/>
        <v>295382</v>
      </c>
      <c r="L93" s="185">
        <f>SUM(L90:L92)</f>
        <v>647551</v>
      </c>
      <c r="M93" s="185">
        <f t="shared" si="28"/>
        <v>404475</v>
      </c>
      <c r="N93" s="185">
        <f t="shared" si="28"/>
        <v>85647</v>
      </c>
      <c r="O93" s="185">
        <f t="shared" si="28"/>
        <v>800408</v>
      </c>
      <c r="P93" s="185">
        <f t="shared" si="28"/>
        <v>563020</v>
      </c>
      <c r="Q93" s="185">
        <f>SUM(Q90:Q92)</f>
        <v>182731</v>
      </c>
      <c r="R93" s="185">
        <f t="shared" si="28"/>
        <v>13957</v>
      </c>
      <c r="S93" s="185">
        <f t="shared" si="28"/>
        <v>54351</v>
      </c>
      <c r="T93" s="185">
        <f t="shared" si="28"/>
        <v>20841</v>
      </c>
      <c r="U93" s="185">
        <f>SUM(U90:U92)</f>
        <v>65093</v>
      </c>
      <c r="V93" s="185">
        <f t="shared" si="28"/>
        <v>282282</v>
      </c>
      <c r="W93" s="185">
        <f t="shared" si="28"/>
        <v>30206</v>
      </c>
      <c r="X93" s="185">
        <f>SUM(X90:X92)</f>
        <v>403529</v>
      </c>
      <c r="Y93" s="185">
        <f>SUM(Y90:Y92)</f>
        <v>78302</v>
      </c>
      <c r="Z93" s="185">
        <f t="shared" si="28"/>
        <v>25176</v>
      </c>
      <c r="AA93" s="185">
        <f t="shared" si="28"/>
        <v>70962</v>
      </c>
      <c r="AB93" s="185">
        <f t="shared" si="28"/>
        <v>75934</v>
      </c>
      <c r="AC93" s="185">
        <f t="shared" si="28"/>
        <v>23711</v>
      </c>
      <c r="AD93" s="185">
        <f>SUM(AD90:AD92)</f>
        <v>52327</v>
      </c>
      <c r="AE93" s="185">
        <f t="shared" si="28"/>
        <v>358498</v>
      </c>
      <c r="AF93" s="185">
        <f>SUM(AF90:AF92)</f>
        <v>22165</v>
      </c>
      <c r="AG93" s="185">
        <f t="shared" si="28"/>
        <v>23035</v>
      </c>
      <c r="AH93" s="185">
        <f aca="true" t="shared" si="29" ref="AH93:AQ93">SUM(AH90:AH92)</f>
        <v>10176</v>
      </c>
      <c r="AI93" s="185">
        <f t="shared" si="29"/>
        <v>0</v>
      </c>
      <c r="AJ93" s="185">
        <f>SUM(AJ90:AJ92)</f>
        <v>8409</v>
      </c>
      <c r="AK93" s="185">
        <f t="shared" si="29"/>
        <v>1403303</v>
      </c>
      <c r="AL93" s="185">
        <f t="shared" si="29"/>
        <v>8577</v>
      </c>
      <c r="AM93" s="185">
        <f t="shared" si="29"/>
        <v>81</v>
      </c>
      <c r="AN93" s="185">
        <f t="shared" si="29"/>
        <v>0</v>
      </c>
      <c r="AO93" s="185">
        <f t="shared" si="29"/>
        <v>0</v>
      </c>
      <c r="AP93" s="185">
        <f t="shared" si="29"/>
        <v>3333</v>
      </c>
      <c r="AQ93" s="185">
        <f t="shared" si="29"/>
        <v>1863</v>
      </c>
      <c r="AR93" s="185">
        <f t="shared" si="28"/>
        <v>0</v>
      </c>
      <c r="AS93" s="185">
        <f t="shared" si="28"/>
        <v>0</v>
      </c>
      <c r="AT93" s="185"/>
      <c r="AU93" s="185">
        <f>SUM(AU90:AU92)</f>
        <v>21951578</v>
      </c>
      <c r="AV93" s="164"/>
      <c r="AW93" s="209">
        <f>SUM(AW90:AW92)</f>
        <v>2640972</v>
      </c>
      <c r="AX93" s="209">
        <f>SUM(AX90:AX92)</f>
        <v>19310606</v>
      </c>
    </row>
    <row r="94" spans="1:50" ht="11.25" customHeight="1">
      <c r="A94" s="176"/>
      <c r="B94" s="176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67"/>
      <c r="AU94" s="164"/>
      <c r="AV94" s="164"/>
      <c r="AW94" s="210"/>
      <c r="AX94" s="210"/>
    </row>
    <row r="95" spans="1:50" ht="11.25" customHeight="1" hidden="1" outlineLevel="1">
      <c r="A95" s="176" t="s">
        <v>105</v>
      </c>
      <c r="B95" s="176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64"/>
      <c r="AV95" s="164"/>
      <c r="AW95" s="210"/>
      <c r="AX95" s="210"/>
    </row>
    <row r="96" spans="1:50" ht="11.25" customHeight="1" hidden="1" outlineLevel="1">
      <c r="A96" s="174" t="s">
        <v>106</v>
      </c>
      <c r="B96" s="174"/>
      <c r="C96" s="179">
        <v>6575</v>
      </c>
      <c r="D96" s="179">
        <v>6575</v>
      </c>
      <c r="E96" s="179">
        <v>46144</v>
      </c>
      <c r="F96" s="179">
        <v>30482</v>
      </c>
      <c r="G96" s="179">
        <v>0</v>
      </c>
      <c r="H96" s="179">
        <v>11268</v>
      </c>
      <c r="I96" s="179">
        <v>0</v>
      </c>
      <c r="J96" s="179">
        <v>0</v>
      </c>
      <c r="K96" s="179">
        <v>0</v>
      </c>
      <c r="L96" s="179">
        <v>3694</v>
      </c>
      <c r="M96" s="179">
        <v>22761</v>
      </c>
      <c r="N96" s="179">
        <v>0</v>
      </c>
      <c r="O96" s="179">
        <v>21959</v>
      </c>
      <c r="P96" s="179">
        <v>2306</v>
      </c>
      <c r="Q96" s="179">
        <v>0</v>
      </c>
      <c r="R96" s="179">
        <v>829</v>
      </c>
      <c r="S96" s="179">
        <v>76</v>
      </c>
      <c r="T96" s="179">
        <v>7201</v>
      </c>
      <c r="U96" s="179">
        <v>0</v>
      </c>
      <c r="V96" s="179">
        <v>4943</v>
      </c>
      <c r="W96" s="179">
        <v>529</v>
      </c>
      <c r="X96" s="179">
        <v>516</v>
      </c>
      <c r="Y96" s="179">
        <v>1894</v>
      </c>
      <c r="Z96" s="179">
        <v>1461</v>
      </c>
      <c r="AA96" s="179">
        <v>1467</v>
      </c>
      <c r="AB96" s="179">
        <v>0</v>
      </c>
      <c r="AC96" s="179">
        <v>0</v>
      </c>
      <c r="AD96" s="179">
        <v>0</v>
      </c>
      <c r="AE96" s="179">
        <v>0</v>
      </c>
      <c r="AF96" s="179">
        <v>0</v>
      </c>
      <c r="AG96" s="179">
        <v>656</v>
      </c>
      <c r="AH96" s="179">
        <v>0</v>
      </c>
      <c r="AI96" s="179">
        <v>0</v>
      </c>
      <c r="AJ96" s="179">
        <v>0</v>
      </c>
      <c r="AK96" s="179">
        <v>0</v>
      </c>
      <c r="AL96" s="179">
        <v>0</v>
      </c>
      <c r="AM96" s="179">
        <v>0</v>
      </c>
      <c r="AN96" s="179">
        <v>0</v>
      </c>
      <c r="AO96" s="179">
        <v>0</v>
      </c>
      <c r="AP96" s="179">
        <v>0</v>
      </c>
      <c r="AQ96" s="179">
        <v>0</v>
      </c>
      <c r="AR96" s="179">
        <v>0</v>
      </c>
      <c r="AS96" s="179">
        <v>0</v>
      </c>
      <c r="AT96" s="185"/>
      <c r="AU96" s="164">
        <f>SUM(C96:AT96)</f>
        <v>171336</v>
      </c>
      <c r="AV96" s="164"/>
      <c r="AW96" s="209">
        <f>SUMIF($C$163:$AS$163,"já",C96:AS96)</f>
        <v>8036</v>
      </c>
      <c r="AX96" s="209">
        <f>SUMIF($C$163:$AS$163,"nei",C96:AS96)</f>
        <v>163300</v>
      </c>
    </row>
    <row r="97" spans="1:50" ht="11.25" customHeight="1" hidden="1" outlineLevel="1">
      <c r="A97" s="174" t="s">
        <v>107</v>
      </c>
      <c r="B97" s="174"/>
      <c r="C97" s="179">
        <v>2564034</v>
      </c>
      <c r="D97" s="179">
        <v>9198878</v>
      </c>
      <c r="E97" s="179">
        <v>5813288</v>
      </c>
      <c r="F97" s="179">
        <v>8463097</v>
      </c>
      <c r="G97" s="179">
        <v>0</v>
      </c>
      <c r="H97" s="179">
        <v>1285212</v>
      </c>
      <c r="I97" s="179">
        <v>209866</v>
      </c>
      <c r="J97" s="179">
        <v>32832</v>
      </c>
      <c r="K97" s="179">
        <v>80340</v>
      </c>
      <c r="L97" s="179">
        <v>343424</v>
      </c>
      <c r="M97" s="179">
        <v>2056230</v>
      </c>
      <c r="N97" s="179">
        <v>443795</v>
      </c>
      <c r="O97" s="179">
        <v>396971</v>
      </c>
      <c r="P97" s="179">
        <v>81762</v>
      </c>
      <c r="Q97" s="179">
        <v>195790</v>
      </c>
      <c r="R97" s="179">
        <v>311957</v>
      </c>
      <c r="S97" s="179">
        <v>919674</v>
      </c>
      <c r="T97" s="179">
        <v>125451</v>
      </c>
      <c r="U97" s="179">
        <v>5932</v>
      </c>
      <c r="V97" s="179">
        <v>312704</v>
      </c>
      <c r="W97" s="179">
        <v>33461</v>
      </c>
      <c r="X97" s="179">
        <v>113957</v>
      </c>
      <c r="Y97" s="179">
        <v>130519</v>
      </c>
      <c r="Z97" s="179">
        <v>40349</v>
      </c>
      <c r="AA97" s="179">
        <v>37602</v>
      </c>
      <c r="AB97" s="179">
        <v>33619</v>
      </c>
      <c r="AC97" s="179">
        <v>213556</v>
      </c>
      <c r="AD97" s="179">
        <v>71932</v>
      </c>
      <c r="AE97" s="179">
        <v>32970</v>
      </c>
      <c r="AF97" s="179">
        <v>74328</v>
      </c>
      <c r="AG97" s="179">
        <v>355387</v>
      </c>
      <c r="AH97" s="179">
        <v>111</v>
      </c>
      <c r="AI97" s="179">
        <v>27276</v>
      </c>
      <c r="AJ97" s="179">
        <v>13027</v>
      </c>
      <c r="AK97" s="179">
        <v>30182</v>
      </c>
      <c r="AL97" s="179">
        <v>32169</v>
      </c>
      <c r="AM97" s="179">
        <v>13</v>
      </c>
      <c r="AN97" s="179">
        <v>19393</v>
      </c>
      <c r="AO97" s="179">
        <v>43863</v>
      </c>
      <c r="AP97" s="179">
        <v>4960</v>
      </c>
      <c r="AQ97" s="179">
        <v>88</v>
      </c>
      <c r="AR97" s="179">
        <v>69803</v>
      </c>
      <c r="AS97" s="179">
        <v>16687</v>
      </c>
      <c r="AT97" s="185"/>
      <c r="AU97" s="164">
        <f>SUM(C97:AT97)</f>
        <v>34236489</v>
      </c>
      <c r="AV97" s="164"/>
      <c r="AW97" s="209">
        <f>SUMIF($C$163:$AS$163,"já",C97:AS97)</f>
        <v>9755900</v>
      </c>
      <c r="AX97" s="209">
        <f>SUMIF($C$163:$AS$163,"nei",C97:AS97)</f>
        <v>24480589</v>
      </c>
    </row>
    <row r="98" spans="1:50" ht="11.25" customHeight="1" hidden="1" outlineLevel="1">
      <c r="A98" s="164" t="s">
        <v>108</v>
      </c>
      <c r="B98" s="164"/>
      <c r="C98" s="179">
        <v>0</v>
      </c>
      <c r="D98" s="179">
        <v>0</v>
      </c>
      <c r="E98" s="179">
        <v>0</v>
      </c>
      <c r="F98" s="179">
        <v>0</v>
      </c>
      <c r="G98" s="179">
        <v>0</v>
      </c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0</v>
      </c>
      <c r="N98" s="179">
        <v>0</v>
      </c>
      <c r="O98" s="179">
        <v>0</v>
      </c>
      <c r="P98" s="179">
        <v>0</v>
      </c>
      <c r="Q98" s="179">
        <v>0</v>
      </c>
      <c r="R98" s="179">
        <v>0</v>
      </c>
      <c r="S98" s="179">
        <v>30940</v>
      </c>
      <c r="T98" s="179">
        <v>0</v>
      </c>
      <c r="U98" s="179">
        <v>0</v>
      </c>
      <c r="V98" s="179">
        <v>0</v>
      </c>
      <c r="W98" s="179">
        <v>0</v>
      </c>
      <c r="X98" s="179">
        <v>0</v>
      </c>
      <c r="Y98" s="179">
        <v>0</v>
      </c>
      <c r="Z98" s="179">
        <v>0</v>
      </c>
      <c r="AA98" s="179">
        <v>5497</v>
      </c>
      <c r="AB98" s="179">
        <v>129082</v>
      </c>
      <c r="AC98" s="179">
        <v>0</v>
      </c>
      <c r="AD98" s="179">
        <v>0</v>
      </c>
      <c r="AE98" s="179">
        <v>0</v>
      </c>
      <c r="AF98" s="179">
        <v>0</v>
      </c>
      <c r="AG98" s="179">
        <v>0</v>
      </c>
      <c r="AH98" s="179">
        <v>2726</v>
      </c>
      <c r="AI98" s="179">
        <v>0</v>
      </c>
      <c r="AJ98" s="179">
        <v>0</v>
      </c>
      <c r="AK98" s="179">
        <v>0</v>
      </c>
      <c r="AL98" s="179">
        <v>0</v>
      </c>
      <c r="AM98" s="179">
        <v>0</v>
      </c>
      <c r="AN98" s="179">
        <v>0</v>
      </c>
      <c r="AO98" s="179">
        <v>0</v>
      </c>
      <c r="AP98" s="179">
        <v>0</v>
      </c>
      <c r="AQ98" s="179">
        <v>0</v>
      </c>
      <c r="AR98" s="179">
        <v>0</v>
      </c>
      <c r="AS98" s="179">
        <v>0</v>
      </c>
      <c r="AT98" s="185"/>
      <c r="AU98" s="164">
        <f>SUM(C98:AT98)</f>
        <v>168245</v>
      </c>
      <c r="AV98" s="164"/>
      <c r="AW98" s="209">
        <f>SUMIF($C$163:$AS$163,"já",C98:AS98)</f>
        <v>0</v>
      </c>
      <c r="AX98" s="209">
        <f>SUMIF($C$163:$AS$163,"nei",C98:AS98)</f>
        <v>168245</v>
      </c>
    </row>
    <row r="99" spans="1:50" ht="11.25" customHeight="1" collapsed="1">
      <c r="A99" s="176" t="s">
        <v>109</v>
      </c>
      <c r="B99" s="176"/>
      <c r="C99" s="185">
        <f>SUM(C96:C98)</f>
        <v>2570609</v>
      </c>
      <c r="D99" s="185">
        <f aca="true" t="shared" si="30" ref="D99:AG99">SUM(D96:D98)</f>
        <v>9205453</v>
      </c>
      <c r="E99" s="185">
        <f t="shared" si="30"/>
        <v>5859432</v>
      </c>
      <c r="F99" s="185">
        <f t="shared" si="30"/>
        <v>8493579</v>
      </c>
      <c r="G99" s="185">
        <f t="shared" si="30"/>
        <v>0</v>
      </c>
      <c r="H99" s="185">
        <f t="shared" si="30"/>
        <v>1296480</v>
      </c>
      <c r="I99" s="185">
        <f t="shared" si="30"/>
        <v>209866</v>
      </c>
      <c r="J99" s="185">
        <f t="shared" si="30"/>
        <v>32832</v>
      </c>
      <c r="K99" s="185">
        <f t="shared" si="30"/>
        <v>80340</v>
      </c>
      <c r="L99" s="185">
        <f>SUM(L96:L98)</f>
        <v>347118</v>
      </c>
      <c r="M99" s="185">
        <f t="shared" si="30"/>
        <v>2078991</v>
      </c>
      <c r="N99" s="185">
        <f t="shared" si="30"/>
        <v>443795</v>
      </c>
      <c r="O99" s="185">
        <f t="shared" si="30"/>
        <v>418930</v>
      </c>
      <c r="P99" s="185">
        <f t="shared" si="30"/>
        <v>84068</v>
      </c>
      <c r="Q99" s="185">
        <f>SUM(Q96:Q98)</f>
        <v>195790</v>
      </c>
      <c r="R99" s="185">
        <f t="shared" si="30"/>
        <v>312786</v>
      </c>
      <c r="S99" s="185">
        <f t="shared" si="30"/>
        <v>950690</v>
      </c>
      <c r="T99" s="185">
        <f t="shared" si="30"/>
        <v>132652</v>
      </c>
      <c r="U99" s="185">
        <f>SUM(U96:U98)</f>
        <v>5932</v>
      </c>
      <c r="V99" s="185">
        <f t="shared" si="30"/>
        <v>317647</v>
      </c>
      <c r="W99" s="185">
        <f t="shared" si="30"/>
        <v>33990</v>
      </c>
      <c r="X99" s="185">
        <f>SUM(X96:X98)</f>
        <v>114473</v>
      </c>
      <c r="Y99" s="185">
        <f>SUM(Y96:Y98)</f>
        <v>132413</v>
      </c>
      <c r="Z99" s="185">
        <f t="shared" si="30"/>
        <v>41810</v>
      </c>
      <c r="AA99" s="185">
        <f t="shared" si="30"/>
        <v>44566</v>
      </c>
      <c r="AB99" s="185">
        <f t="shared" si="30"/>
        <v>162701</v>
      </c>
      <c r="AC99" s="185">
        <f t="shared" si="30"/>
        <v>213556</v>
      </c>
      <c r="AD99" s="185">
        <f>SUM(AD96:AD98)</f>
        <v>71932</v>
      </c>
      <c r="AE99" s="185">
        <f t="shared" si="30"/>
        <v>32970</v>
      </c>
      <c r="AF99" s="185">
        <f>SUM(AF96:AF98)</f>
        <v>74328</v>
      </c>
      <c r="AG99" s="185">
        <f t="shared" si="30"/>
        <v>356043</v>
      </c>
      <c r="AH99" s="185">
        <f>SUM(AH96:AH98)</f>
        <v>2837</v>
      </c>
      <c r="AI99" s="185">
        <f>SUM(AI96:AI98)</f>
        <v>27276</v>
      </c>
      <c r="AJ99" s="185">
        <f>SUM(AJ96:AJ98)</f>
        <v>13027</v>
      </c>
      <c r="AK99" s="185">
        <f>SUM(AK96:AK98)</f>
        <v>30182</v>
      </c>
      <c r="AL99" s="185">
        <f>SUM(AL96:AL98)</f>
        <v>32169</v>
      </c>
      <c r="AM99" s="185">
        <f>SUM(AM97:AM98)</f>
        <v>13</v>
      </c>
      <c r="AN99" s="185">
        <f aca="true" t="shared" si="31" ref="AN99:AS99">SUM(AN96:AN98)</f>
        <v>19393</v>
      </c>
      <c r="AO99" s="185">
        <f t="shared" si="31"/>
        <v>43863</v>
      </c>
      <c r="AP99" s="185">
        <f t="shared" si="31"/>
        <v>4960</v>
      </c>
      <c r="AQ99" s="185">
        <f t="shared" si="31"/>
        <v>88</v>
      </c>
      <c r="AR99" s="185">
        <f t="shared" si="31"/>
        <v>69803</v>
      </c>
      <c r="AS99" s="185">
        <f t="shared" si="31"/>
        <v>16687</v>
      </c>
      <c r="AT99" s="185"/>
      <c r="AU99" s="185">
        <f>SUM(AU96:AU98)</f>
        <v>34576070</v>
      </c>
      <c r="AV99" s="185"/>
      <c r="AW99" s="209">
        <f>SUM(AW96:AW98)</f>
        <v>9763936</v>
      </c>
      <c r="AX99" s="209">
        <f>SUM(AX96:AX98)</f>
        <v>24812134</v>
      </c>
    </row>
    <row r="100" spans="1:50" ht="11.25" customHeight="1">
      <c r="A100" s="176"/>
      <c r="B100" s="176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85"/>
      <c r="AU100" s="164"/>
      <c r="AV100" s="164"/>
      <c r="AW100" s="210"/>
      <c r="AX100" s="210"/>
    </row>
    <row r="101" spans="1:50" ht="11.25" customHeight="1">
      <c r="A101" s="194" t="s">
        <v>110</v>
      </c>
      <c r="B101" s="194"/>
      <c r="C101" s="179">
        <v>0</v>
      </c>
      <c r="D101" s="179">
        <v>0</v>
      </c>
      <c r="E101" s="179">
        <v>0</v>
      </c>
      <c r="F101" s="179">
        <v>0</v>
      </c>
      <c r="G101" s="179">
        <v>0</v>
      </c>
      <c r="H101" s="179">
        <v>0</v>
      </c>
      <c r="I101" s="179">
        <v>0</v>
      </c>
      <c r="J101" s="179">
        <v>0</v>
      </c>
      <c r="K101" s="179">
        <v>0</v>
      </c>
      <c r="L101" s="179">
        <v>0</v>
      </c>
      <c r="M101" s="179">
        <v>0</v>
      </c>
      <c r="N101" s="179">
        <v>0</v>
      </c>
      <c r="O101" s="179">
        <v>0</v>
      </c>
      <c r="P101" s="179">
        <v>0</v>
      </c>
      <c r="Q101" s="179">
        <v>0</v>
      </c>
      <c r="R101" s="179">
        <v>0</v>
      </c>
      <c r="S101" s="179">
        <v>0</v>
      </c>
      <c r="T101" s="179">
        <v>0</v>
      </c>
      <c r="U101" s="179">
        <v>0</v>
      </c>
      <c r="V101" s="179">
        <v>0</v>
      </c>
      <c r="W101" s="179">
        <v>0</v>
      </c>
      <c r="X101" s="179">
        <v>0</v>
      </c>
      <c r="Y101" s="179">
        <v>0</v>
      </c>
      <c r="Z101" s="179">
        <v>0</v>
      </c>
      <c r="AA101" s="179">
        <v>0</v>
      </c>
      <c r="AB101" s="179">
        <v>0</v>
      </c>
      <c r="AC101" s="179">
        <v>0</v>
      </c>
      <c r="AD101" s="179">
        <v>0</v>
      </c>
      <c r="AE101" s="179">
        <v>0</v>
      </c>
      <c r="AF101" s="179">
        <v>0</v>
      </c>
      <c r="AG101" s="179">
        <v>0</v>
      </c>
      <c r="AH101" s="179">
        <v>0</v>
      </c>
      <c r="AI101" s="179">
        <v>0</v>
      </c>
      <c r="AJ101" s="179">
        <v>0</v>
      </c>
      <c r="AK101" s="179">
        <v>0</v>
      </c>
      <c r="AL101" s="179">
        <v>0</v>
      </c>
      <c r="AM101" s="179">
        <v>0</v>
      </c>
      <c r="AN101" s="179">
        <v>0</v>
      </c>
      <c r="AO101" s="179">
        <v>0</v>
      </c>
      <c r="AP101" s="179">
        <v>0</v>
      </c>
      <c r="AQ101" s="179">
        <v>0</v>
      </c>
      <c r="AR101" s="179">
        <v>0</v>
      </c>
      <c r="AS101" s="179">
        <v>0</v>
      </c>
      <c r="AT101" s="167"/>
      <c r="AU101" s="164">
        <f>SUM(C101:AT101)</f>
        <v>0</v>
      </c>
      <c r="AV101" s="164"/>
      <c r="AW101" s="209">
        <f>SUMIF($C$163:$AS$163,"já",C101:AS101)</f>
        <v>0</v>
      </c>
      <c r="AX101" s="209">
        <f>SUMIF($C$163:$AS$163,"nei",C101:AS101)</f>
        <v>0</v>
      </c>
    </row>
    <row r="102" spans="1:50" ht="11.25" customHeight="1">
      <c r="A102" s="164"/>
      <c r="B102" s="164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64"/>
      <c r="AV102" s="194"/>
      <c r="AW102" s="210"/>
      <c r="AX102" s="210"/>
    </row>
    <row r="103" spans="1:50" s="22" customFormat="1" ht="11.25" customHeight="1">
      <c r="A103" s="193" t="s">
        <v>111</v>
      </c>
      <c r="B103" s="193"/>
      <c r="C103" s="185">
        <f>+C87+C93+C99+C101</f>
        <v>107491458</v>
      </c>
      <c r="D103" s="185">
        <f aca="true" t="shared" si="32" ref="D103:AS103">+D87+D93+D99+D101</f>
        <v>203782064</v>
      </c>
      <c r="E103" s="185">
        <f t="shared" si="32"/>
        <v>262908922</v>
      </c>
      <c r="F103" s="185">
        <f t="shared" si="32"/>
        <v>236837900</v>
      </c>
      <c r="G103" s="185">
        <f t="shared" si="32"/>
        <v>10013985</v>
      </c>
      <c r="H103" s="185">
        <f t="shared" si="32"/>
        <v>93069117</v>
      </c>
      <c r="I103" s="185">
        <f t="shared" si="32"/>
        <v>26254935</v>
      </c>
      <c r="J103" s="185">
        <f t="shared" si="32"/>
        <v>4221908</v>
      </c>
      <c r="K103" s="185">
        <f t="shared" si="32"/>
        <v>9484906</v>
      </c>
      <c r="L103" s="185">
        <f>+L87+L93+L99+L101</f>
        <v>89507279</v>
      </c>
      <c r="M103" s="185">
        <f t="shared" si="32"/>
        <v>79226222</v>
      </c>
      <c r="N103" s="185">
        <f t="shared" si="32"/>
        <v>12728071</v>
      </c>
      <c r="O103" s="185">
        <f t="shared" si="32"/>
        <v>55643381</v>
      </c>
      <c r="P103" s="185">
        <f t="shared" si="32"/>
        <v>55430643</v>
      </c>
      <c r="Q103" s="185">
        <f>+Q87+Q93+Q99+Q101</f>
        <v>40330382</v>
      </c>
      <c r="R103" s="185">
        <f t="shared" si="32"/>
        <v>26013343</v>
      </c>
      <c r="S103" s="185">
        <f t="shared" si="32"/>
        <v>12147758</v>
      </c>
      <c r="T103" s="185">
        <f t="shared" si="32"/>
        <v>28665140</v>
      </c>
      <c r="U103" s="185">
        <f>+U87+U93+U99+U101</f>
        <v>2449600</v>
      </c>
      <c r="V103" s="185">
        <f t="shared" si="32"/>
        <v>24920812</v>
      </c>
      <c r="W103" s="185">
        <f t="shared" si="32"/>
        <v>2666621</v>
      </c>
      <c r="X103" s="185">
        <f>+X87+X93+X99+X101</f>
        <v>27428205</v>
      </c>
      <c r="Y103" s="185">
        <f>+Y87+Y93+Y99+Y101</f>
        <v>23194956</v>
      </c>
      <c r="Z103" s="185">
        <f t="shared" si="32"/>
        <v>23208801</v>
      </c>
      <c r="AA103" s="185">
        <f t="shared" si="32"/>
        <v>21622728</v>
      </c>
      <c r="AB103" s="185">
        <f t="shared" si="32"/>
        <v>15631046</v>
      </c>
      <c r="AC103" s="185">
        <f t="shared" si="32"/>
        <v>12974259</v>
      </c>
      <c r="AD103" s="185">
        <f>+AD87+AD93+AD99+AD101</f>
        <v>10148626</v>
      </c>
      <c r="AE103" s="185">
        <f t="shared" si="32"/>
        <v>7230035</v>
      </c>
      <c r="AF103" s="185">
        <f>+AF87+AF93+AF99+AF101</f>
        <v>5935385</v>
      </c>
      <c r="AG103" s="185">
        <f t="shared" si="32"/>
        <v>4277591</v>
      </c>
      <c r="AH103" s="185">
        <f aca="true" t="shared" si="33" ref="AH103:AQ103">+AH87+AH93+AH99+AH101</f>
        <v>306414</v>
      </c>
      <c r="AI103" s="185">
        <f t="shared" si="33"/>
        <v>2526379</v>
      </c>
      <c r="AJ103" s="185">
        <f>+AJ87+AJ93+AJ99+AJ101</f>
        <v>2263953</v>
      </c>
      <c r="AK103" s="185">
        <f t="shared" si="33"/>
        <v>2238036</v>
      </c>
      <c r="AL103" s="185">
        <f t="shared" si="33"/>
        <v>1166026</v>
      </c>
      <c r="AM103" s="185">
        <f t="shared" si="33"/>
        <v>762872</v>
      </c>
      <c r="AN103" s="185">
        <f t="shared" si="33"/>
        <v>486080</v>
      </c>
      <c r="AO103" s="185">
        <f t="shared" si="33"/>
        <v>472544</v>
      </c>
      <c r="AP103" s="185">
        <f t="shared" si="33"/>
        <v>455624</v>
      </c>
      <c r="AQ103" s="185">
        <f t="shared" si="33"/>
        <v>173802</v>
      </c>
      <c r="AR103" s="185">
        <f t="shared" si="32"/>
        <v>71180</v>
      </c>
      <c r="AS103" s="185">
        <f t="shared" si="32"/>
        <v>39014</v>
      </c>
      <c r="AT103" s="185"/>
      <c r="AU103" s="185">
        <f>+AU87+AU93+AU99+AU101</f>
        <v>1546408003</v>
      </c>
      <c r="AV103" s="185"/>
      <c r="AW103" s="209">
        <f>+AW87+AW93+AW99+AW101</f>
        <v>289906761</v>
      </c>
      <c r="AX103" s="209">
        <f>+AX87+AX93+AX99+AX101</f>
        <v>1256501242</v>
      </c>
    </row>
    <row r="104" spans="1:50" ht="7.5" customHeight="1">
      <c r="A104" s="174"/>
      <c r="B104" s="174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67"/>
      <c r="AU104" s="164"/>
      <c r="AV104" s="164"/>
      <c r="AW104" s="210"/>
      <c r="AX104" s="210"/>
    </row>
    <row r="105" spans="1:50" ht="11.25" customHeight="1">
      <c r="A105" s="216" t="s">
        <v>112</v>
      </c>
      <c r="B105" s="216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210"/>
      <c r="AX105" s="210"/>
    </row>
    <row r="106" spans="1:50" ht="11.25" customHeight="1">
      <c r="A106" s="176" t="s">
        <v>113</v>
      </c>
      <c r="B106" s="176"/>
      <c r="C106" s="179">
        <v>16611</v>
      </c>
      <c r="D106" s="179">
        <v>54575</v>
      </c>
      <c r="E106" s="179">
        <v>0</v>
      </c>
      <c r="F106" s="179">
        <v>0</v>
      </c>
      <c r="G106" s="179">
        <v>0</v>
      </c>
      <c r="H106" s="179">
        <v>0</v>
      </c>
      <c r="I106" s="179">
        <v>0</v>
      </c>
      <c r="J106" s="179">
        <v>0</v>
      </c>
      <c r="K106" s="179">
        <v>0</v>
      </c>
      <c r="L106" s="179">
        <v>0</v>
      </c>
      <c r="M106" s="179">
        <v>0</v>
      </c>
      <c r="N106" s="179">
        <v>0</v>
      </c>
      <c r="O106" s="179">
        <v>0</v>
      </c>
      <c r="P106" s="179">
        <v>0</v>
      </c>
      <c r="Q106" s="179">
        <v>0</v>
      </c>
      <c r="R106" s="179">
        <v>0</v>
      </c>
      <c r="S106" s="179">
        <v>0</v>
      </c>
      <c r="T106" s="179">
        <v>0</v>
      </c>
      <c r="U106" s="179">
        <v>0</v>
      </c>
      <c r="V106" s="179">
        <v>0</v>
      </c>
      <c r="W106" s="179">
        <v>0</v>
      </c>
      <c r="X106" s="179">
        <v>0</v>
      </c>
      <c r="Y106" s="179">
        <v>0</v>
      </c>
      <c r="Z106" s="179">
        <v>6426</v>
      </c>
      <c r="AA106" s="179">
        <v>0</v>
      </c>
      <c r="AB106" s="179">
        <v>0</v>
      </c>
      <c r="AC106" s="179">
        <v>0</v>
      </c>
      <c r="AD106" s="179">
        <v>0</v>
      </c>
      <c r="AE106" s="179">
        <v>0</v>
      </c>
      <c r="AF106" s="179">
        <v>0</v>
      </c>
      <c r="AG106" s="179">
        <v>0</v>
      </c>
      <c r="AH106" s="179">
        <v>0</v>
      </c>
      <c r="AI106" s="179">
        <v>0</v>
      </c>
      <c r="AJ106" s="179">
        <v>0</v>
      </c>
      <c r="AK106" s="179">
        <v>0</v>
      </c>
      <c r="AL106" s="179">
        <v>0</v>
      </c>
      <c r="AM106" s="179">
        <v>0</v>
      </c>
      <c r="AN106" s="179">
        <v>0</v>
      </c>
      <c r="AO106" s="179">
        <v>0</v>
      </c>
      <c r="AP106" s="179">
        <v>0</v>
      </c>
      <c r="AQ106" s="179">
        <v>0</v>
      </c>
      <c r="AR106" s="179">
        <v>0</v>
      </c>
      <c r="AS106" s="179">
        <v>0</v>
      </c>
      <c r="AT106" s="167"/>
      <c r="AU106" s="164">
        <f>SUM(C106:AT106)</f>
        <v>77612</v>
      </c>
      <c r="AV106" s="164"/>
      <c r="AW106" s="209">
        <f>SUMIF($C$163:$AS$163,"já",C106:AS106)</f>
        <v>61001</v>
      </c>
      <c r="AX106" s="209">
        <f>SUMIF($C$163:$AS$163,"nei",C106:AS106)</f>
        <v>16611</v>
      </c>
    </row>
    <row r="107" spans="1:50" ht="11.25" customHeight="1">
      <c r="A107" s="176"/>
      <c r="B107" s="176"/>
      <c r="C107" s="167"/>
      <c r="D107" s="167"/>
      <c r="E107" s="178"/>
      <c r="F107" s="167"/>
      <c r="G107" s="167"/>
      <c r="H107" s="178"/>
      <c r="I107" s="185"/>
      <c r="J107" s="185"/>
      <c r="K107" s="167"/>
      <c r="L107" s="167"/>
      <c r="M107" s="167"/>
      <c r="N107" s="178"/>
      <c r="O107" s="167"/>
      <c r="P107" s="178"/>
      <c r="Q107" s="178"/>
      <c r="R107" s="178"/>
      <c r="S107" s="178"/>
      <c r="T107" s="167"/>
      <c r="U107" s="167"/>
      <c r="V107" s="167"/>
      <c r="W107" s="167"/>
      <c r="X107" s="167"/>
      <c r="Y107" s="178"/>
      <c r="Z107" s="167"/>
      <c r="AA107" s="178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78"/>
      <c r="AO107" s="167"/>
      <c r="AP107" s="167"/>
      <c r="AQ107" s="167"/>
      <c r="AR107" s="167"/>
      <c r="AS107" s="167"/>
      <c r="AT107" s="167"/>
      <c r="AU107" s="164"/>
      <c r="AV107" s="164"/>
      <c r="AW107" s="210"/>
      <c r="AX107" s="210"/>
    </row>
    <row r="108" spans="1:50" ht="11.25" customHeight="1" hidden="1" outlineLevel="1">
      <c r="A108" s="176" t="s">
        <v>114</v>
      </c>
      <c r="B108" s="176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67"/>
      <c r="AF108" s="185"/>
      <c r="AG108" s="185"/>
      <c r="AH108" s="185"/>
      <c r="AI108" s="185"/>
      <c r="AJ108" s="185"/>
      <c r="AK108" s="167"/>
      <c r="AL108" s="185"/>
      <c r="AM108" s="167"/>
      <c r="AN108" s="164"/>
      <c r="AO108" s="185"/>
      <c r="AP108" s="185"/>
      <c r="AQ108" s="185"/>
      <c r="AR108" s="185"/>
      <c r="AS108" s="185"/>
      <c r="AT108" s="185"/>
      <c r="AU108" s="164"/>
      <c r="AV108" s="164"/>
      <c r="AW108" s="210"/>
      <c r="AX108" s="210"/>
    </row>
    <row r="109" spans="1:50" ht="11.25" customHeight="1" hidden="1" outlineLevel="1">
      <c r="A109" s="174" t="s">
        <v>115</v>
      </c>
      <c r="B109" s="174"/>
      <c r="C109" s="179">
        <v>0</v>
      </c>
      <c r="D109" s="179">
        <v>0</v>
      </c>
      <c r="E109" s="179">
        <v>0</v>
      </c>
      <c r="F109" s="179">
        <v>18679</v>
      </c>
      <c r="G109" s="179">
        <v>0</v>
      </c>
      <c r="H109" s="179">
        <v>9710084</v>
      </c>
      <c r="I109" s="179">
        <v>0</v>
      </c>
      <c r="J109" s="179">
        <v>0</v>
      </c>
      <c r="K109" s="179">
        <v>0</v>
      </c>
      <c r="L109" s="179">
        <v>0</v>
      </c>
      <c r="M109" s="179">
        <v>0</v>
      </c>
      <c r="N109" s="179">
        <v>0</v>
      </c>
      <c r="O109" s="179">
        <v>0</v>
      </c>
      <c r="P109" s="179">
        <v>0</v>
      </c>
      <c r="Q109" s="179">
        <v>0</v>
      </c>
      <c r="R109" s="179">
        <v>0</v>
      </c>
      <c r="S109" s="179">
        <v>0</v>
      </c>
      <c r="T109" s="179">
        <v>0</v>
      </c>
      <c r="U109" s="179">
        <v>2907</v>
      </c>
      <c r="V109" s="179">
        <v>0</v>
      </c>
      <c r="W109" s="179">
        <v>0</v>
      </c>
      <c r="X109" s="179">
        <v>0</v>
      </c>
      <c r="Y109" s="179">
        <v>0</v>
      </c>
      <c r="Z109" s="179">
        <v>0</v>
      </c>
      <c r="AA109" s="179">
        <v>0</v>
      </c>
      <c r="AB109" s="179">
        <v>0</v>
      </c>
      <c r="AC109" s="179">
        <v>0</v>
      </c>
      <c r="AD109" s="179">
        <v>0</v>
      </c>
      <c r="AE109" s="179">
        <v>0</v>
      </c>
      <c r="AF109" s="179">
        <v>0</v>
      </c>
      <c r="AG109" s="179">
        <v>0</v>
      </c>
      <c r="AH109" s="179">
        <v>0</v>
      </c>
      <c r="AI109" s="179">
        <v>0</v>
      </c>
      <c r="AJ109" s="179">
        <v>0</v>
      </c>
      <c r="AK109" s="179">
        <v>0</v>
      </c>
      <c r="AL109" s="179">
        <v>0</v>
      </c>
      <c r="AM109" s="179">
        <v>0</v>
      </c>
      <c r="AN109" s="179">
        <v>0</v>
      </c>
      <c r="AO109" s="179">
        <v>0</v>
      </c>
      <c r="AP109" s="179">
        <v>0</v>
      </c>
      <c r="AQ109" s="179">
        <v>0</v>
      </c>
      <c r="AR109" s="179">
        <v>0</v>
      </c>
      <c r="AS109" s="179">
        <v>0</v>
      </c>
      <c r="AT109" s="185"/>
      <c r="AU109" s="164">
        <f>SUM(C109:AT109)</f>
        <v>9731670</v>
      </c>
      <c r="AV109" s="164"/>
      <c r="AW109" s="209">
        <f>SUMIF($C$163:$AS$163,"já",C109:AS109)</f>
        <v>0</v>
      </c>
      <c r="AX109" s="209">
        <f>SUMIF($C$163:$AS$163,"nei",C109:AS109)</f>
        <v>9731670</v>
      </c>
    </row>
    <row r="110" spans="1:50" ht="11.25" customHeight="1" hidden="1" outlineLevel="1">
      <c r="A110" s="174" t="s">
        <v>116</v>
      </c>
      <c r="B110" s="174"/>
      <c r="C110" s="179">
        <v>0</v>
      </c>
      <c r="D110" s="179">
        <v>0</v>
      </c>
      <c r="E110" s="179">
        <v>0</v>
      </c>
      <c r="F110" s="179">
        <v>0</v>
      </c>
      <c r="G110" s="179">
        <v>0</v>
      </c>
      <c r="H110" s="179">
        <v>0</v>
      </c>
      <c r="I110" s="179">
        <v>0</v>
      </c>
      <c r="J110" s="179">
        <v>0</v>
      </c>
      <c r="K110" s="179">
        <v>0</v>
      </c>
      <c r="L110" s="179">
        <v>0</v>
      </c>
      <c r="M110" s="179">
        <v>0</v>
      </c>
      <c r="N110" s="179">
        <v>0</v>
      </c>
      <c r="O110" s="179">
        <v>0</v>
      </c>
      <c r="P110" s="179">
        <v>0</v>
      </c>
      <c r="Q110" s="179">
        <v>0</v>
      </c>
      <c r="R110" s="179">
        <v>0</v>
      </c>
      <c r="S110" s="179">
        <v>0</v>
      </c>
      <c r="T110" s="179">
        <v>0</v>
      </c>
      <c r="U110" s="179">
        <v>5414</v>
      </c>
      <c r="V110" s="179">
        <v>0</v>
      </c>
      <c r="W110" s="179">
        <v>0</v>
      </c>
      <c r="X110" s="179">
        <v>0</v>
      </c>
      <c r="Y110" s="179">
        <v>0</v>
      </c>
      <c r="Z110" s="179">
        <v>0</v>
      </c>
      <c r="AA110" s="179">
        <v>0</v>
      </c>
      <c r="AB110" s="179">
        <v>0</v>
      </c>
      <c r="AC110" s="179">
        <v>0</v>
      </c>
      <c r="AD110" s="179">
        <v>0</v>
      </c>
      <c r="AE110" s="179">
        <v>5871</v>
      </c>
      <c r="AF110" s="179">
        <v>0</v>
      </c>
      <c r="AG110" s="179">
        <v>0</v>
      </c>
      <c r="AH110" s="179">
        <v>0</v>
      </c>
      <c r="AI110" s="179">
        <v>0</v>
      </c>
      <c r="AJ110" s="179">
        <v>0</v>
      </c>
      <c r="AK110" s="179">
        <v>0</v>
      </c>
      <c r="AL110" s="179">
        <v>0</v>
      </c>
      <c r="AM110" s="179">
        <v>0</v>
      </c>
      <c r="AN110" s="179">
        <v>0</v>
      </c>
      <c r="AO110" s="179">
        <v>0</v>
      </c>
      <c r="AP110" s="179">
        <v>0</v>
      </c>
      <c r="AQ110" s="179">
        <v>0</v>
      </c>
      <c r="AR110" s="179">
        <v>0</v>
      </c>
      <c r="AS110" s="179">
        <v>0</v>
      </c>
      <c r="AT110" s="185"/>
      <c r="AU110" s="164">
        <f>SUM(C110:AT110)</f>
        <v>11285</v>
      </c>
      <c r="AV110" s="164"/>
      <c r="AW110" s="209">
        <f>SUMIF($C$163:$AS$163,"já",C110:AS110)</f>
        <v>5871</v>
      </c>
      <c r="AX110" s="209">
        <f>SUMIF($C$163:$AS$163,"nei",C110:AS110)</f>
        <v>5414</v>
      </c>
    </row>
    <row r="111" spans="1:50" ht="11.25" customHeight="1" hidden="1" outlineLevel="1">
      <c r="A111" s="164" t="s">
        <v>117</v>
      </c>
      <c r="B111" s="164"/>
      <c r="C111" s="179">
        <v>0</v>
      </c>
      <c r="D111" s="179">
        <v>0</v>
      </c>
      <c r="E111" s="179">
        <v>0</v>
      </c>
      <c r="F111" s="179">
        <v>0</v>
      </c>
      <c r="G111" s="179">
        <v>0</v>
      </c>
      <c r="H111" s="179">
        <v>0</v>
      </c>
      <c r="I111" s="179">
        <v>0</v>
      </c>
      <c r="J111" s="179">
        <v>0</v>
      </c>
      <c r="K111" s="179">
        <v>0</v>
      </c>
      <c r="L111" s="179">
        <v>0</v>
      </c>
      <c r="M111" s="179">
        <v>0</v>
      </c>
      <c r="N111" s="179">
        <v>0</v>
      </c>
      <c r="O111" s="179">
        <v>0</v>
      </c>
      <c r="P111" s="179">
        <v>0</v>
      </c>
      <c r="Q111" s="179">
        <v>0</v>
      </c>
      <c r="R111" s="179">
        <v>0</v>
      </c>
      <c r="S111" s="179">
        <v>0</v>
      </c>
      <c r="T111" s="179">
        <v>0</v>
      </c>
      <c r="U111" s="179">
        <v>0</v>
      </c>
      <c r="V111" s="179">
        <v>0</v>
      </c>
      <c r="W111" s="179">
        <v>0</v>
      </c>
      <c r="X111" s="179">
        <v>0</v>
      </c>
      <c r="Y111" s="179">
        <v>0</v>
      </c>
      <c r="Z111" s="179">
        <v>0</v>
      </c>
      <c r="AA111" s="179">
        <v>0</v>
      </c>
      <c r="AB111" s="179">
        <v>0</v>
      </c>
      <c r="AC111" s="179">
        <v>0</v>
      </c>
      <c r="AD111" s="179">
        <v>0</v>
      </c>
      <c r="AE111" s="179">
        <v>0</v>
      </c>
      <c r="AF111" s="179">
        <v>0</v>
      </c>
      <c r="AG111" s="179">
        <v>0</v>
      </c>
      <c r="AH111" s="179">
        <v>0</v>
      </c>
      <c r="AI111" s="179">
        <v>0</v>
      </c>
      <c r="AJ111" s="179">
        <v>0</v>
      </c>
      <c r="AK111" s="179">
        <v>0</v>
      </c>
      <c r="AL111" s="179">
        <v>0</v>
      </c>
      <c r="AM111" s="179">
        <v>0</v>
      </c>
      <c r="AN111" s="179">
        <v>0</v>
      </c>
      <c r="AO111" s="179">
        <v>0</v>
      </c>
      <c r="AP111" s="179">
        <v>0</v>
      </c>
      <c r="AQ111" s="179">
        <v>0</v>
      </c>
      <c r="AR111" s="179">
        <v>0</v>
      </c>
      <c r="AS111" s="179">
        <v>0</v>
      </c>
      <c r="AT111" s="185"/>
      <c r="AU111" s="164">
        <f>SUM(C111:AT111)</f>
        <v>0</v>
      </c>
      <c r="AV111" s="164"/>
      <c r="AW111" s="209">
        <f>SUMIF($C$163:$AS$163,"já",C111:AS111)</f>
        <v>0</v>
      </c>
      <c r="AX111" s="209">
        <f>SUMIF($C$163:$AS$163,"nei",C111:AS111)</f>
        <v>0</v>
      </c>
    </row>
    <row r="112" spans="1:50" ht="11.25" customHeight="1" hidden="1" outlineLevel="1">
      <c r="A112" s="164" t="s">
        <v>118</v>
      </c>
      <c r="B112" s="164"/>
      <c r="C112" s="179">
        <v>227000</v>
      </c>
      <c r="D112" s="179">
        <v>714137</v>
      </c>
      <c r="E112" s="179">
        <v>299520</v>
      </c>
      <c r="F112" s="179">
        <v>827445</v>
      </c>
      <c r="G112" s="179">
        <v>3121</v>
      </c>
      <c r="H112" s="179">
        <v>0</v>
      </c>
      <c r="I112" s="179">
        <v>41979</v>
      </c>
      <c r="J112" s="179">
        <v>17020</v>
      </c>
      <c r="K112" s="179">
        <v>13771</v>
      </c>
      <c r="L112" s="179">
        <v>123364</v>
      </c>
      <c r="M112" s="179">
        <v>561996</v>
      </c>
      <c r="N112" s="179">
        <v>87361</v>
      </c>
      <c r="O112" s="179">
        <v>26281</v>
      </c>
      <c r="P112" s="179">
        <v>265883</v>
      </c>
      <c r="Q112" s="179">
        <v>51403</v>
      </c>
      <c r="R112" s="179">
        <v>45042</v>
      </c>
      <c r="S112" s="179">
        <v>57453</v>
      </c>
      <c r="T112" s="179">
        <v>31328</v>
      </c>
      <c r="U112" s="179">
        <v>19415</v>
      </c>
      <c r="V112" s="179">
        <v>12064</v>
      </c>
      <c r="W112" s="179">
        <v>1291</v>
      </c>
      <c r="X112" s="179">
        <v>169315</v>
      </c>
      <c r="Y112" s="179">
        <v>2225</v>
      </c>
      <c r="Z112" s="179">
        <v>70093</v>
      </c>
      <c r="AA112" s="179">
        <v>19476</v>
      </c>
      <c r="AB112" s="179">
        <v>11278</v>
      </c>
      <c r="AC112" s="179">
        <v>19879</v>
      </c>
      <c r="AD112" s="179">
        <v>19136</v>
      </c>
      <c r="AE112" s="179">
        <v>0</v>
      </c>
      <c r="AF112" s="179">
        <v>13568</v>
      </c>
      <c r="AG112" s="179">
        <v>1041</v>
      </c>
      <c r="AH112" s="179">
        <v>476</v>
      </c>
      <c r="AI112" s="179">
        <v>21299</v>
      </c>
      <c r="AJ112" s="179">
        <v>2236</v>
      </c>
      <c r="AK112" s="179">
        <v>2449</v>
      </c>
      <c r="AL112" s="179">
        <v>19819</v>
      </c>
      <c r="AM112" s="179">
        <v>1161</v>
      </c>
      <c r="AN112" s="179">
        <v>4602</v>
      </c>
      <c r="AO112" s="179">
        <v>0</v>
      </c>
      <c r="AP112" s="179">
        <v>6056</v>
      </c>
      <c r="AQ112" s="179">
        <v>1309</v>
      </c>
      <c r="AR112" s="179">
        <v>0</v>
      </c>
      <c r="AS112" s="179">
        <v>33326</v>
      </c>
      <c r="AT112" s="185"/>
      <c r="AU112" s="164">
        <f>SUM(C112:AT112)</f>
        <v>3845618</v>
      </c>
      <c r="AV112" s="164"/>
      <c r="AW112" s="209">
        <f>SUMIF($C$163:$AS$163,"já",C112:AS112)</f>
        <v>940297</v>
      </c>
      <c r="AX112" s="209">
        <f>SUMIF($C$163:$AS$163,"nei",C112:AS112)</f>
        <v>2905321</v>
      </c>
    </row>
    <row r="113" spans="1:50" ht="11.25" customHeight="1" collapsed="1">
      <c r="A113" s="176" t="s">
        <v>119</v>
      </c>
      <c r="B113" s="176"/>
      <c r="C113" s="185">
        <f>SUM(C109:C112)</f>
        <v>227000</v>
      </c>
      <c r="D113" s="185">
        <f aca="true" t="shared" si="34" ref="D113:AS113">SUM(D109:D112)</f>
        <v>714137</v>
      </c>
      <c r="E113" s="185">
        <f t="shared" si="34"/>
        <v>299520</v>
      </c>
      <c r="F113" s="185">
        <f t="shared" si="34"/>
        <v>846124</v>
      </c>
      <c r="G113" s="185">
        <f t="shared" si="34"/>
        <v>3121</v>
      </c>
      <c r="H113" s="185">
        <f t="shared" si="34"/>
        <v>9710084</v>
      </c>
      <c r="I113" s="185">
        <f t="shared" si="34"/>
        <v>41979</v>
      </c>
      <c r="J113" s="185">
        <f t="shared" si="34"/>
        <v>17020</v>
      </c>
      <c r="K113" s="185">
        <f t="shared" si="34"/>
        <v>13771</v>
      </c>
      <c r="L113" s="185">
        <f>SUM(L109:L112)</f>
        <v>123364</v>
      </c>
      <c r="M113" s="185">
        <f t="shared" si="34"/>
        <v>561996</v>
      </c>
      <c r="N113" s="185">
        <f t="shared" si="34"/>
        <v>87361</v>
      </c>
      <c r="O113" s="185">
        <f t="shared" si="34"/>
        <v>26281</v>
      </c>
      <c r="P113" s="185">
        <f t="shared" si="34"/>
        <v>265883</v>
      </c>
      <c r="Q113" s="185">
        <f>SUM(Q109:Q112)</f>
        <v>51403</v>
      </c>
      <c r="R113" s="185">
        <f t="shared" si="34"/>
        <v>45042</v>
      </c>
      <c r="S113" s="185">
        <f t="shared" si="34"/>
        <v>57453</v>
      </c>
      <c r="T113" s="185">
        <f t="shared" si="34"/>
        <v>31328</v>
      </c>
      <c r="U113" s="185">
        <f>SUM(U109:U112)</f>
        <v>27736</v>
      </c>
      <c r="V113" s="185">
        <f t="shared" si="34"/>
        <v>12064</v>
      </c>
      <c r="W113" s="185">
        <f t="shared" si="34"/>
        <v>1291</v>
      </c>
      <c r="X113" s="185">
        <f>SUM(X109:X112)</f>
        <v>169315</v>
      </c>
      <c r="Y113" s="185">
        <f>SUM(Y109:Y112)</f>
        <v>2225</v>
      </c>
      <c r="Z113" s="185">
        <f t="shared" si="34"/>
        <v>70093</v>
      </c>
      <c r="AA113" s="185">
        <f t="shared" si="34"/>
        <v>19476</v>
      </c>
      <c r="AB113" s="185">
        <f t="shared" si="34"/>
        <v>11278</v>
      </c>
      <c r="AC113" s="185">
        <f t="shared" si="34"/>
        <v>19879</v>
      </c>
      <c r="AD113" s="185">
        <f>SUM(AD109:AD112)</f>
        <v>19136</v>
      </c>
      <c r="AE113" s="185">
        <f t="shared" si="34"/>
        <v>5871</v>
      </c>
      <c r="AF113" s="185">
        <f>SUM(AF109:AF112)</f>
        <v>13568</v>
      </c>
      <c r="AG113" s="185">
        <f t="shared" si="34"/>
        <v>1041</v>
      </c>
      <c r="AH113" s="185">
        <f aca="true" t="shared" si="35" ref="AH113:AQ113">SUM(AH109:AH112)</f>
        <v>476</v>
      </c>
      <c r="AI113" s="185">
        <f t="shared" si="35"/>
        <v>21299</v>
      </c>
      <c r="AJ113" s="185">
        <f>SUM(AJ109:AJ112)</f>
        <v>2236</v>
      </c>
      <c r="AK113" s="185">
        <f t="shared" si="35"/>
        <v>2449</v>
      </c>
      <c r="AL113" s="185">
        <f t="shared" si="35"/>
        <v>19819</v>
      </c>
      <c r="AM113" s="185">
        <f t="shared" si="35"/>
        <v>1161</v>
      </c>
      <c r="AN113" s="185">
        <f t="shared" si="35"/>
        <v>4602</v>
      </c>
      <c r="AO113" s="185">
        <f t="shared" si="35"/>
        <v>0</v>
      </c>
      <c r="AP113" s="185">
        <f t="shared" si="35"/>
        <v>6056</v>
      </c>
      <c r="AQ113" s="185">
        <f t="shared" si="35"/>
        <v>1309</v>
      </c>
      <c r="AR113" s="185">
        <f t="shared" si="34"/>
        <v>0</v>
      </c>
      <c r="AS113" s="185">
        <f t="shared" si="34"/>
        <v>33326</v>
      </c>
      <c r="AT113" s="185"/>
      <c r="AU113" s="185">
        <f>SUM(AU109:AU112)</f>
        <v>13588573</v>
      </c>
      <c r="AV113" s="185"/>
      <c r="AW113" s="209">
        <f>SUM(AW109:AW112)</f>
        <v>946168</v>
      </c>
      <c r="AX113" s="209">
        <f>SUM(AX109:AX112)</f>
        <v>12642405</v>
      </c>
    </row>
    <row r="114" spans="1:50" ht="11.25" customHeight="1">
      <c r="A114" s="176"/>
      <c r="B114" s="176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64"/>
      <c r="AU114" s="164"/>
      <c r="AV114" s="164"/>
      <c r="AW114" s="210"/>
      <c r="AX114" s="210"/>
    </row>
    <row r="115" spans="1:50" ht="11.25" customHeight="1">
      <c r="A115" s="176" t="s">
        <v>120</v>
      </c>
      <c r="B115" s="176"/>
      <c r="C115" s="179">
        <v>0</v>
      </c>
      <c r="D115" s="179">
        <v>0</v>
      </c>
      <c r="E115" s="179">
        <v>0</v>
      </c>
      <c r="F115" s="179">
        <v>0</v>
      </c>
      <c r="G115" s="179">
        <v>0</v>
      </c>
      <c r="H115" s="179">
        <v>19157</v>
      </c>
      <c r="I115" s="179">
        <v>0</v>
      </c>
      <c r="J115" s="179">
        <v>0</v>
      </c>
      <c r="K115" s="179">
        <v>0</v>
      </c>
      <c r="L115" s="179">
        <v>0</v>
      </c>
      <c r="M115" s="179">
        <v>0</v>
      </c>
      <c r="N115" s="179">
        <v>0</v>
      </c>
      <c r="O115" s="179">
        <v>0</v>
      </c>
      <c r="P115" s="179">
        <v>0</v>
      </c>
      <c r="Q115" s="179">
        <v>0</v>
      </c>
      <c r="R115" s="179">
        <v>0</v>
      </c>
      <c r="S115" s="179">
        <v>0</v>
      </c>
      <c r="T115" s="179">
        <v>0</v>
      </c>
      <c r="U115" s="179">
        <v>0</v>
      </c>
      <c r="V115" s="179">
        <v>0</v>
      </c>
      <c r="W115" s="179">
        <v>0</v>
      </c>
      <c r="X115" s="179">
        <v>0</v>
      </c>
      <c r="Y115" s="179">
        <v>0</v>
      </c>
      <c r="Z115" s="179">
        <v>0</v>
      </c>
      <c r="AA115" s="179">
        <v>0</v>
      </c>
      <c r="AB115" s="179">
        <v>12211</v>
      </c>
      <c r="AC115" s="179">
        <v>0</v>
      </c>
      <c r="AD115" s="179">
        <v>5870</v>
      </c>
      <c r="AE115" s="179">
        <v>1165</v>
      </c>
      <c r="AF115" s="179">
        <v>0</v>
      </c>
      <c r="AG115" s="179">
        <v>0</v>
      </c>
      <c r="AH115" s="179">
        <v>0</v>
      </c>
      <c r="AI115" s="179">
        <v>0</v>
      </c>
      <c r="AJ115" s="179">
        <v>0</v>
      </c>
      <c r="AK115" s="179">
        <v>0</v>
      </c>
      <c r="AL115" s="179">
        <v>0</v>
      </c>
      <c r="AM115" s="179">
        <v>0</v>
      </c>
      <c r="AN115" s="179">
        <v>0</v>
      </c>
      <c r="AO115" s="179">
        <v>0</v>
      </c>
      <c r="AP115" s="179">
        <v>0</v>
      </c>
      <c r="AQ115" s="179">
        <v>0</v>
      </c>
      <c r="AR115" s="179">
        <v>0</v>
      </c>
      <c r="AS115" s="179">
        <v>0</v>
      </c>
      <c r="AT115" s="167"/>
      <c r="AU115" s="164">
        <f>SUM(C115:AT115)</f>
        <v>38403</v>
      </c>
      <c r="AV115" s="164"/>
      <c r="AW115" s="209">
        <f>SUMIF($C$163:$AS$163,"já",C115:AS115)</f>
        <v>1165</v>
      </c>
      <c r="AX115" s="209">
        <f>SUMIF($C$163:$AS$163,"nei",C115:AS115)</f>
        <v>37238</v>
      </c>
    </row>
    <row r="116" spans="1:50" ht="11.25" customHeight="1">
      <c r="A116" s="194"/>
      <c r="B116" s="194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  <c r="AT116" s="185"/>
      <c r="AU116" s="164"/>
      <c r="AV116" s="194"/>
      <c r="AW116" s="210"/>
      <c r="AX116" s="210"/>
    </row>
    <row r="117" spans="1:50" s="22" customFormat="1" ht="11.25" customHeight="1">
      <c r="A117" s="193" t="s">
        <v>121</v>
      </c>
      <c r="B117" s="193"/>
      <c r="C117" s="185">
        <f>+C106+C113+C115</f>
        <v>243611</v>
      </c>
      <c r="D117" s="185">
        <f aca="true" t="shared" si="36" ref="D117:AS117">+D106+D113+D115</f>
        <v>768712</v>
      </c>
      <c r="E117" s="185">
        <f t="shared" si="36"/>
        <v>299520</v>
      </c>
      <c r="F117" s="185">
        <f t="shared" si="36"/>
        <v>846124</v>
      </c>
      <c r="G117" s="185">
        <f t="shared" si="36"/>
        <v>3121</v>
      </c>
      <c r="H117" s="185">
        <f t="shared" si="36"/>
        <v>9729241</v>
      </c>
      <c r="I117" s="185">
        <f t="shared" si="36"/>
        <v>41979</v>
      </c>
      <c r="J117" s="185">
        <f t="shared" si="36"/>
        <v>17020</v>
      </c>
      <c r="K117" s="185">
        <f t="shared" si="36"/>
        <v>13771</v>
      </c>
      <c r="L117" s="185">
        <f>+L106+L113+L115</f>
        <v>123364</v>
      </c>
      <c r="M117" s="185">
        <f t="shared" si="36"/>
        <v>561996</v>
      </c>
      <c r="N117" s="185">
        <f t="shared" si="36"/>
        <v>87361</v>
      </c>
      <c r="O117" s="185">
        <f t="shared" si="36"/>
        <v>26281</v>
      </c>
      <c r="P117" s="185">
        <f t="shared" si="36"/>
        <v>265883</v>
      </c>
      <c r="Q117" s="185">
        <f>+Q106+Q113+Q115</f>
        <v>51403</v>
      </c>
      <c r="R117" s="185">
        <f t="shared" si="36"/>
        <v>45042</v>
      </c>
      <c r="S117" s="185">
        <f t="shared" si="36"/>
        <v>57453</v>
      </c>
      <c r="T117" s="185">
        <f t="shared" si="36"/>
        <v>31328</v>
      </c>
      <c r="U117" s="185">
        <f>+U106+U113+U115</f>
        <v>27736</v>
      </c>
      <c r="V117" s="185">
        <f t="shared" si="36"/>
        <v>12064</v>
      </c>
      <c r="W117" s="185">
        <f t="shared" si="36"/>
        <v>1291</v>
      </c>
      <c r="X117" s="185">
        <f>+X106+X113+X115</f>
        <v>169315</v>
      </c>
      <c r="Y117" s="185">
        <f>+Y106+Y113+Y115</f>
        <v>2225</v>
      </c>
      <c r="Z117" s="185">
        <f t="shared" si="36"/>
        <v>76519</v>
      </c>
      <c r="AA117" s="185">
        <f t="shared" si="36"/>
        <v>19476</v>
      </c>
      <c r="AB117" s="185">
        <f t="shared" si="36"/>
        <v>23489</v>
      </c>
      <c r="AC117" s="185">
        <f t="shared" si="36"/>
        <v>19879</v>
      </c>
      <c r="AD117" s="185">
        <f>+AD106+AD113+AD115</f>
        <v>25006</v>
      </c>
      <c r="AE117" s="185">
        <f t="shared" si="36"/>
        <v>7036</v>
      </c>
      <c r="AF117" s="185">
        <f>+AF106+AF113+AF115</f>
        <v>13568</v>
      </c>
      <c r="AG117" s="185">
        <f t="shared" si="36"/>
        <v>1041</v>
      </c>
      <c r="AH117" s="185">
        <f aca="true" t="shared" si="37" ref="AH117:AQ117">+AH106+AH113+AH115</f>
        <v>476</v>
      </c>
      <c r="AI117" s="185">
        <f t="shared" si="37"/>
        <v>21299</v>
      </c>
      <c r="AJ117" s="185">
        <f>+AJ106+AJ113+AJ115</f>
        <v>2236</v>
      </c>
      <c r="AK117" s="185">
        <f t="shared" si="37"/>
        <v>2449</v>
      </c>
      <c r="AL117" s="185">
        <f t="shared" si="37"/>
        <v>19819</v>
      </c>
      <c r="AM117" s="185">
        <f t="shared" si="37"/>
        <v>1161</v>
      </c>
      <c r="AN117" s="185">
        <f t="shared" si="37"/>
        <v>4602</v>
      </c>
      <c r="AO117" s="185">
        <f t="shared" si="37"/>
        <v>0</v>
      </c>
      <c r="AP117" s="185">
        <f t="shared" si="37"/>
        <v>6056</v>
      </c>
      <c r="AQ117" s="185">
        <f t="shared" si="37"/>
        <v>1309</v>
      </c>
      <c r="AR117" s="185">
        <f t="shared" si="36"/>
        <v>0</v>
      </c>
      <c r="AS117" s="185">
        <f t="shared" si="36"/>
        <v>33326</v>
      </c>
      <c r="AT117" s="185"/>
      <c r="AU117" s="185">
        <f>+AU106+AU113+AU115</f>
        <v>13704588</v>
      </c>
      <c r="AV117" s="185"/>
      <c r="AW117" s="209">
        <f>+AW106+AW113+AW115</f>
        <v>1008334</v>
      </c>
      <c r="AX117" s="209">
        <f>+AX106+AX113+AX115</f>
        <v>12696254</v>
      </c>
    </row>
    <row r="118" spans="1:50" ht="11.25" customHeight="1">
      <c r="A118" s="176"/>
      <c r="B118" s="176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217"/>
      <c r="AU118" s="217"/>
      <c r="AV118" s="217"/>
      <c r="AW118" s="218"/>
      <c r="AX118" s="218"/>
    </row>
    <row r="119" spans="1:50" s="22" customFormat="1" ht="11.25" customHeight="1">
      <c r="A119" s="193" t="s">
        <v>81</v>
      </c>
      <c r="B119" s="193"/>
      <c r="C119" s="194">
        <f>+C103-C117</f>
        <v>107247847</v>
      </c>
      <c r="D119" s="194">
        <f aca="true" t="shared" si="38" ref="D119:AS119">+D103-D117</f>
        <v>203013352</v>
      </c>
      <c r="E119" s="194">
        <f t="shared" si="38"/>
        <v>262609402</v>
      </c>
      <c r="F119" s="194">
        <f t="shared" si="38"/>
        <v>235991776</v>
      </c>
      <c r="G119" s="194">
        <f t="shared" si="38"/>
        <v>10010864</v>
      </c>
      <c r="H119" s="194">
        <f t="shared" si="38"/>
        <v>83339876</v>
      </c>
      <c r="I119" s="194">
        <f t="shared" si="38"/>
        <v>26212956</v>
      </c>
      <c r="J119" s="194">
        <f t="shared" si="38"/>
        <v>4204888</v>
      </c>
      <c r="K119" s="194">
        <f t="shared" si="38"/>
        <v>9471135</v>
      </c>
      <c r="L119" s="194">
        <f>+L103-L117</f>
        <v>89383915</v>
      </c>
      <c r="M119" s="194">
        <f t="shared" si="38"/>
        <v>78664226</v>
      </c>
      <c r="N119" s="194">
        <f t="shared" si="38"/>
        <v>12640710</v>
      </c>
      <c r="O119" s="194">
        <f t="shared" si="38"/>
        <v>55617100</v>
      </c>
      <c r="P119" s="194">
        <f t="shared" si="38"/>
        <v>55164760</v>
      </c>
      <c r="Q119" s="194">
        <f>+Q103-Q117</f>
        <v>40278979</v>
      </c>
      <c r="R119" s="194">
        <f t="shared" si="38"/>
        <v>25968301</v>
      </c>
      <c r="S119" s="194">
        <f t="shared" si="38"/>
        <v>12090305</v>
      </c>
      <c r="T119" s="194">
        <f t="shared" si="38"/>
        <v>28633812</v>
      </c>
      <c r="U119" s="194">
        <f>+U103-U117</f>
        <v>2421864</v>
      </c>
      <c r="V119" s="194">
        <f t="shared" si="38"/>
        <v>24908748</v>
      </c>
      <c r="W119" s="194">
        <f t="shared" si="38"/>
        <v>2665330</v>
      </c>
      <c r="X119" s="194">
        <f>+X103-X117</f>
        <v>27258890</v>
      </c>
      <c r="Y119" s="194">
        <f>+Y103-Y117</f>
        <v>23192731</v>
      </c>
      <c r="Z119" s="194">
        <f t="shared" si="38"/>
        <v>23132282</v>
      </c>
      <c r="AA119" s="194">
        <f t="shared" si="38"/>
        <v>21603252</v>
      </c>
      <c r="AB119" s="194">
        <f t="shared" si="38"/>
        <v>15607557</v>
      </c>
      <c r="AC119" s="194">
        <f t="shared" si="38"/>
        <v>12954380</v>
      </c>
      <c r="AD119" s="194">
        <f>+AD103-AD117</f>
        <v>10123620</v>
      </c>
      <c r="AE119" s="194">
        <f t="shared" si="38"/>
        <v>7222999</v>
      </c>
      <c r="AF119" s="194">
        <f>+AF103-AF117</f>
        <v>5921817</v>
      </c>
      <c r="AG119" s="194">
        <f t="shared" si="38"/>
        <v>4276550</v>
      </c>
      <c r="AH119" s="194">
        <f aca="true" t="shared" si="39" ref="AH119:AQ119">+AH103-AH117</f>
        <v>305938</v>
      </c>
      <c r="AI119" s="194">
        <f t="shared" si="39"/>
        <v>2505080</v>
      </c>
      <c r="AJ119" s="194">
        <f>+AJ103-AJ117</f>
        <v>2261717</v>
      </c>
      <c r="AK119" s="194">
        <f>+AK103-AK117</f>
        <v>2235587</v>
      </c>
      <c r="AL119" s="194">
        <f t="shared" si="39"/>
        <v>1146207</v>
      </c>
      <c r="AM119" s="194">
        <f t="shared" si="39"/>
        <v>761711</v>
      </c>
      <c r="AN119" s="194">
        <f t="shared" si="39"/>
        <v>481478</v>
      </c>
      <c r="AO119" s="194">
        <f t="shared" si="39"/>
        <v>472544</v>
      </c>
      <c r="AP119" s="194">
        <f t="shared" si="39"/>
        <v>449568</v>
      </c>
      <c r="AQ119" s="194">
        <f t="shared" si="39"/>
        <v>172493</v>
      </c>
      <c r="AR119" s="194">
        <f t="shared" si="38"/>
        <v>71180</v>
      </c>
      <c r="AS119" s="194">
        <f t="shared" si="38"/>
        <v>5688</v>
      </c>
      <c r="AT119" s="194"/>
      <c r="AU119" s="194">
        <f>+AU103-AU117</f>
        <v>1532703415</v>
      </c>
      <c r="AV119" s="194"/>
      <c r="AW119" s="213">
        <f>+AW103-AW117</f>
        <v>288898427</v>
      </c>
      <c r="AX119" s="213">
        <f>+AX103-AX117</f>
        <v>1243804988</v>
      </c>
    </row>
    <row r="120" spans="1:50" ht="11.25" customHeight="1">
      <c r="A120" s="24"/>
      <c r="B120" s="2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W120" s="32"/>
      <c r="AX120" s="32"/>
    </row>
    <row r="121" spans="1:50" ht="17.25" customHeight="1">
      <c r="A121" s="204" t="s">
        <v>122</v>
      </c>
      <c r="B121" s="205"/>
      <c r="C121" s="195"/>
      <c r="D121" s="195"/>
      <c r="E121" s="164"/>
      <c r="F121" s="195"/>
      <c r="G121" s="164"/>
      <c r="H121" s="164"/>
      <c r="I121" s="195"/>
      <c r="J121" s="195"/>
      <c r="K121" s="164"/>
      <c r="L121" s="195"/>
      <c r="M121" s="164"/>
      <c r="N121" s="164"/>
      <c r="O121" s="164"/>
      <c r="P121" s="178"/>
      <c r="Q121" s="164"/>
      <c r="R121" s="164"/>
      <c r="S121" s="178"/>
      <c r="T121" s="164"/>
      <c r="U121" s="195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78"/>
      <c r="AF121" s="195"/>
      <c r="AG121" s="164"/>
      <c r="AH121" s="164"/>
      <c r="AI121" s="164"/>
      <c r="AJ121" s="164"/>
      <c r="AK121" s="195"/>
      <c r="AL121" s="178"/>
      <c r="AM121" s="195"/>
      <c r="AN121" s="164"/>
      <c r="AO121" s="164"/>
      <c r="AP121" s="195"/>
      <c r="AQ121" s="195"/>
      <c r="AR121" s="164"/>
      <c r="AS121" s="195"/>
      <c r="AT121" s="164"/>
      <c r="AU121" s="164"/>
      <c r="AV121" s="164"/>
      <c r="AW121" s="210"/>
      <c r="AX121" s="210"/>
    </row>
    <row r="122" spans="1:50" ht="11.25" customHeight="1" hidden="1" outlineLevel="1">
      <c r="A122" s="176" t="s">
        <v>123</v>
      </c>
      <c r="B122" s="176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64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64"/>
      <c r="AV122" s="164"/>
      <c r="AW122" s="210"/>
      <c r="AX122" s="210"/>
    </row>
    <row r="123" spans="1:50" ht="11.25" customHeight="1" hidden="1" outlineLevel="1">
      <c r="A123" s="174" t="s">
        <v>124</v>
      </c>
      <c r="B123" s="174"/>
      <c r="C123" s="179">
        <v>11442205</v>
      </c>
      <c r="D123" s="179">
        <v>22973722</v>
      </c>
      <c r="E123" s="179">
        <v>14729801</v>
      </c>
      <c r="F123" s="179">
        <v>9439041</v>
      </c>
      <c r="G123" s="179">
        <v>2701685</v>
      </c>
      <c r="H123" s="179">
        <v>2252490</v>
      </c>
      <c r="I123" s="179">
        <v>2766270</v>
      </c>
      <c r="J123" s="179">
        <v>-1470319</v>
      </c>
      <c r="K123" s="179">
        <v>1528671</v>
      </c>
      <c r="L123" s="179">
        <v>5315949</v>
      </c>
      <c r="M123" s="179">
        <v>3718931</v>
      </c>
      <c r="N123" s="179">
        <v>879305</v>
      </c>
      <c r="O123" s="179">
        <v>2350217</v>
      </c>
      <c r="P123" s="179">
        <v>3371827</v>
      </c>
      <c r="Q123" s="179">
        <v>25178174</v>
      </c>
      <c r="R123" s="179">
        <v>344954</v>
      </c>
      <c r="S123" s="179">
        <v>1356871</v>
      </c>
      <c r="T123" s="179">
        <v>1890420</v>
      </c>
      <c r="U123" s="179">
        <v>-179703</v>
      </c>
      <c r="V123" s="179">
        <v>3654711</v>
      </c>
      <c r="W123" s="179">
        <v>343089</v>
      </c>
      <c r="X123" s="179">
        <v>760625</v>
      </c>
      <c r="Y123" s="179">
        <v>733832</v>
      </c>
      <c r="Z123" s="179">
        <v>1145875</v>
      </c>
      <c r="AA123" s="179">
        <v>488092</v>
      </c>
      <c r="AB123" s="181">
        <v>929178</v>
      </c>
      <c r="AC123" s="179">
        <v>108400</v>
      </c>
      <c r="AD123" s="179">
        <v>147581</v>
      </c>
      <c r="AE123" s="179">
        <v>580760</v>
      </c>
      <c r="AF123" s="179">
        <v>3418948</v>
      </c>
      <c r="AG123" s="179">
        <v>197839</v>
      </c>
      <c r="AH123" s="179">
        <v>44784</v>
      </c>
      <c r="AI123" s="179">
        <v>141468</v>
      </c>
      <c r="AJ123" s="179">
        <v>85026</v>
      </c>
      <c r="AK123" s="181">
        <v>50962</v>
      </c>
      <c r="AL123" s="179">
        <v>86235</v>
      </c>
      <c r="AM123" s="179">
        <v>0</v>
      </c>
      <c r="AN123" s="179">
        <v>42365</v>
      </c>
      <c r="AO123" s="179">
        <v>0</v>
      </c>
      <c r="AP123" s="179">
        <v>36617</v>
      </c>
      <c r="AQ123" s="179">
        <v>0</v>
      </c>
      <c r="AR123" s="179">
        <v>51605</v>
      </c>
      <c r="AS123" s="181">
        <v>176007</v>
      </c>
      <c r="AT123" s="185"/>
      <c r="AU123" s="164">
        <f aca="true" t="shared" si="40" ref="AU123:AU131">SUM(C123:AT123)</f>
        <v>123814510</v>
      </c>
      <c r="AV123" s="164"/>
      <c r="AW123" s="209">
        <f aca="true" t="shared" si="41" ref="AW123:AW131">SUMIF($C$163:$AS$163,"já",C123:AS123)</f>
        <v>53967764</v>
      </c>
      <c r="AX123" s="209">
        <f aca="true" t="shared" si="42" ref="AX123:AX131">SUMIF($C$163:$AS$163,"nei",C123:AS123)</f>
        <v>69846746</v>
      </c>
    </row>
    <row r="124" spans="1:50" ht="11.25" customHeight="1" hidden="1" outlineLevel="1">
      <c r="A124" s="174" t="s">
        <v>125</v>
      </c>
      <c r="B124" s="174"/>
      <c r="C124" s="179">
        <v>2467754</v>
      </c>
      <c r="D124" s="179">
        <v>2786963</v>
      </c>
      <c r="E124" s="179">
        <v>13890452</v>
      </c>
      <c r="F124" s="179">
        <v>8859224</v>
      </c>
      <c r="G124" s="179">
        <v>492484</v>
      </c>
      <c r="H124" s="179">
        <v>1251668</v>
      </c>
      <c r="I124" s="179">
        <v>265423</v>
      </c>
      <c r="J124" s="179">
        <v>261497</v>
      </c>
      <c r="K124" s="179">
        <v>146427</v>
      </c>
      <c r="L124" s="179">
        <v>3032880</v>
      </c>
      <c r="M124" s="179">
        <v>1712600</v>
      </c>
      <c r="N124" s="179">
        <v>454736</v>
      </c>
      <c r="O124" s="179">
        <v>1351460</v>
      </c>
      <c r="P124" s="179">
        <v>1772496</v>
      </c>
      <c r="Q124" s="179">
        <v>2329662</v>
      </c>
      <c r="R124" s="179">
        <v>169433</v>
      </c>
      <c r="S124" s="179">
        <v>292514</v>
      </c>
      <c r="T124" s="179">
        <v>716224</v>
      </c>
      <c r="U124" s="179">
        <v>81195</v>
      </c>
      <c r="V124" s="179">
        <v>485470</v>
      </c>
      <c r="W124" s="179">
        <v>45574</v>
      </c>
      <c r="X124" s="179">
        <v>101727</v>
      </c>
      <c r="Y124" s="179">
        <v>533522</v>
      </c>
      <c r="Z124" s="179">
        <v>263979</v>
      </c>
      <c r="AA124" s="179">
        <v>258553</v>
      </c>
      <c r="AB124" s="181">
        <v>394548</v>
      </c>
      <c r="AC124" s="179">
        <v>47869</v>
      </c>
      <c r="AD124" s="179">
        <v>113590</v>
      </c>
      <c r="AE124" s="179">
        <v>141698</v>
      </c>
      <c r="AF124" s="179">
        <v>184124</v>
      </c>
      <c r="AG124" s="179">
        <v>165878</v>
      </c>
      <c r="AH124" s="179">
        <v>9421</v>
      </c>
      <c r="AI124" s="179">
        <v>-98559</v>
      </c>
      <c r="AJ124" s="179">
        <v>124908</v>
      </c>
      <c r="AK124" s="181">
        <v>26958</v>
      </c>
      <c r="AL124" s="179">
        <v>34574</v>
      </c>
      <c r="AM124" s="179">
        <v>100292</v>
      </c>
      <c r="AN124" s="179">
        <v>7518</v>
      </c>
      <c r="AO124" s="179">
        <v>62078</v>
      </c>
      <c r="AP124" s="179">
        <v>8404</v>
      </c>
      <c r="AQ124" s="179">
        <v>2082</v>
      </c>
      <c r="AR124" s="179">
        <v>6697</v>
      </c>
      <c r="AS124" s="181">
        <v>2097</v>
      </c>
      <c r="AT124" s="185"/>
      <c r="AU124" s="164">
        <f t="shared" si="40"/>
        <v>45358094</v>
      </c>
      <c r="AV124" s="164"/>
      <c r="AW124" s="209">
        <f t="shared" si="41"/>
        <v>5821105</v>
      </c>
      <c r="AX124" s="209">
        <f t="shared" si="42"/>
        <v>39536989</v>
      </c>
    </row>
    <row r="125" spans="1:50" ht="11.25" customHeight="1" hidden="1" outlineLevel="1">
      <c r="A125" s="174" t="s">
        <v>126</v>
      </c>
      <c r="B125" s="174"/>
      <c r="C125" s="179">
        <v>0</v>
      </c>
      <c r="D125" s="179">
        <v>0</v>
      </c>
      <c r="E125" s="179">
        <v>0</v>
      </c>
      <c r="F125" s="179">
        <v>0</v>
      </c>
      <c r="G125" s="179">
        <v>0</v>
      </c>
      <c r="H125" s="179">
        <v>0</v>
      </c>
      <c r="I125" s="179">
        <v>0</v>
      </c>
      <c r="J125" s="179">
        <v>0</v>
      </c>
      <c r="K125" s="179">
        <v>0</v>
      </c>
      <c r="L125" s="179">
        <v>0</v>
      </c>
      <c r="M125" s="179">
        <v>0</v>
      </c>
      <c r="N125" s="179">
        <v>0</v>
      </c>
      <c r="O125" s="179">
        <v>0</v>
      </c>
      <c r="P125" s="179">
        <v>9609</v>
      </c>
      <c r="Q125" s="179">
        <v>0</v>
      </c>
      <c r="R125" s="179">
        <v>0</v>
      </c>
      <c r="S125" s="179">
        <v>0</v>
      </c>
      <c r="T125" s="179">
        <v>0</v>
      </c>
      <c r="U125" s="179">
        <v>0</v>
      </c>
      <c r="V125" s="179">
        <v>0</v>
      </c>
      <c r="W125" s="179">
        <v>0</v>
      </c>
      <c r="X125" s="179">
        <v>0</v>
      </c>
      <c r="Y125" s="179">
        <v>0</v>
      </c>
      <c r="Z125" s="179">
        <v>0</v>
      </c>
      <c r="AA125" s="179">
        <v>41886</v>
      </c>
      <c r="AB125" s="181">
        <v>0</v>
      </c>
      <c r="AC125" s="179">
        <v>0</v>
      </c>
      <c r="AD125" s="179">
        <v>0</v>
      </c>
      <c r="AE125" s="179">
        <v>0</v>
      </c>
      <c r="AF125" s="179">
        <v>0</v>
      </c>
      <c r="AG125" s="179">
        <v>2350</v>
      </c>
      <c r="AH125" s="179">
        <v>-6920</v>
      </c>
      <c r="AI125" s="179">
        <v>9453</v>
      </c>
      <c r="AJ125" s="179">
        <v>-2488</v>
      </c>
      <c r="AK125" s="181">
        <v>0</v>
      </c>
      <c r="AL125" s="179">
        <v>0</v>
      </c>
      <c r="AM125" s="179">
        <v>0</v>
      </c>
      <c r="AN125" s="179">
        <v>0</v>
      </c>
      <c r="AO125" s="179">
        <v>0</v>
      </c>
      <c r="AP125" s="179">
        <v>0</v>
      </c>
      <c r="AQ125" s="179">
        <v>0</v>
      </c>
      <c r="AR125" s="179">
        <v>0</v>
      </c>
      <c r="AS125" s="181">
        <v>0</v>
      </c>
      <c r="AT125" s="185"/>
      <c r="AU125" s="164">
        <f t="shared" si="40"/>
        <v>53890</v>
      </c>
      <c r="AV125" s="164"/>
      <c r="AW125" s="209">
        <f t="shared" si="41"/>
        <v>6965</v>
      </c>
      <c r="AX125" s="209">
        <f t="shared" si="42"/>
        <v>46925</v>
      </c>
    </row>
    <row r="126" spans="1:50" ht="11.25" customHeight="1" hidden="1" outlineLevel="1">
      <c r="A126" s="174" t="s">
        <v>127</v>
      </c>
      <c r="B126" s="174"/>
      <c r="C126" s="179">
        <v>3361945</v>
      </c>
      <c r="D126" s="179">
        <v>7495517</v>
      </c>
      <c r="E126" s="179">
        <v>5340462</v>
      </c>
      <c r="F126" s="179">
        <v>6023864</v>
      </c>
      <c r="G126" s="179">
        <v>0</v>
      </c>
      <c r="H126" s="179">
        <v>5917648</v>
      </c>
      <c r="I126" s="179">
        <v>232704</v>
      </c>
      <c r="J126" s="179">
        <v>201411</v>
      </c>
      <c r="K126" s="179">
        <v>89220</v>
      </c>
      <c r="L126" s="179">
        <v>1712642</v>
      </c>
      <c r="M126" s="179">
        <v>9506987</v>
      </c>
      <c r="N126" s="179">
        <v>246691</v>
      </c>
      <c r="O126" s="179">
        <v>2030197</v>
      </c>
      <c r="P126" s="179">
        <v>3195323</v>
      </c>
      <c r="Q126" s="179">
        <v>4277439</v>
      </c>
      <c r="R126" s="179">
        <v>657729</v>
      </c>
      <c r="S126" s="179">
        <v>161628</v>
      </c>
      <c r="T126" s="179">
        <v>1926185</v>
      </c>
      <c r="U126" s="179">
        <v>21516</v>
      </c>
      <c r="V126" s="179">
        <v>1873658</v>
      </c>
      <c r="W126" s="179">
        <v>175891</v>
      </c>
      <c r="X126" s="179">
        <v>1223571</v>
      </c>
      <c r="Y126" s="179">
        <v>402030</v>
      </c>
      <c r="Z126" s="179">
        <v>875971</v>
      </c>
      <c r="AA126" s="179">
        <v>773168</v>
      </c>
      <c r="AB126" s="181">
        <v>334377</v>
      </c>
      <c r="AC126" s="179">
        <v>826747</v>
      </c>
      <c r="AD126" s="179">
        <v>190704</v>
      </c>
      <c r="AE126" s="179">
        <v>16997</v>
      </c>
      <c r="AF126" s="179">
        <v>127146</v>
      </c>
      <c r="AG126" s="179">
        <v>0</v>
      </c>
      <c r="AH126" s="179">
        <v>13887</v>
      </c>
      <c r="AI126" s="179">
        <v>198483</v>
      </c>
      <c r="AJ126" s="179">
        <v>148044</v>
      </c>
      <c r="AK126" s="181">
        <v>13292</v>
      </c>
      <c r="AL126" s="179">
        <v>44415</v>
      </c>
      <c r="AM126" s="179">
        <v>20125</v>
      </c>
      <c r="AN126" s="179">
        <v>57957</v>
      </c>
      <c r="AO126" s="179">
        <v>17712</v>
      </c>
      <c r="AP126" s="179">
        <v>14206</v>
      </c>
      <c r="AQ126" s="179">
        <v>4931</v>
      </c>
      <c r="AR126" s="179">
        <v>1229</v>
      </c>
      <c r="AS126" s="181">
        <v>8000</v>
      </c>
      <c r="AT126" s="185"/>
      <c r="AU126" s="164">
        <f t="shared" si="40"/>
        <v>59761649</v>
      </c>
      <c r="AV126" s="164"/>
      <c r="AW126" s="209">
        <f t="shared" si="41"/>
        <v>13283627</v>
      </c>
      <c r="AX126" s="209">
        <f t="shared" si="42"/>
        <v>46478022</v>
      </c>
    </row>
    <row r="127" spans="1:50" ht="11.25" customHeight="1" hidden="1" outlineLevel="1">
      <c r="A127" s="174" t="s">
        <v>128</v>
      </c>
      <c r="B127" s="174"/>
      <c r="C127" s="179">
        <v>1765352</v>
      </c>
      <c r="D127" s="179">
        <v>26114242</v>
      </c>
      <c r="E127" s="179">
        <v>27727124</v>
      </c>
      <c r="F127" s="179">
        <v>37760784</v>
      </c>
      <c r="G127" s="179">
        <v>0</v>
      </c>
      <c r="H127" s="179">
        <v>40495696</v>
      </c>
      <c r="I127" s="179">
        <v>9417815</v>
      </c>
      <c r="J127" s="179">
        <v>2981346</v>
      </c>
      <c r="K127" s="179">
        <v>4539710</v>
      </c>
      <c r="L127" s="179">
        <v>29967944</v>
      </c>
      <c r="M127" s="179">
        <v>25816831</v>
      </c>
      <c r="N127" s="179">
        <v>6884852</v>
      </c>
      <c r="O127" s="179">
        <v>126998</v>
      </c>
      <c r="P127" s="179">
        <v>16932955</v>
      </c>
      <c r="Q127" s="179">
        <v>895276</v>
      </c>
      <c r="R127" s="179">
        <v>17078601</v>
      </c>
      <c r="S127" s="179">
        <v>5550785</v>
      </c>
      <c r="T127" s="179">
        <v>11723699</v>
      </c>
      <c r="U127" s="179">
        <v>2707208</v>
      </c>
      <c r="V127" s="179">
        <v>11774193</v>
      </c>
      <c r="W127" s="179">
        <v>1105313</v>
      </c>
      <c r="X127" s="179">
        <v>8792121</v>
      </c>
      <c r="Y127" s="179">
        <v>998614</v>
      </c>
      <c r="Z127" s="179">
        <v>3800332</v>
      </c>
      <c r="AA127" s="179">
        <v>6723702</v>
      </c>
      <c r="AB127" s="181">
        <v>10045573</v>
      </c>
      <c r="AC127" s="179">
        <v>2360763</v>
      </c>
      <c r="AD127" s="179">
        <v>5630093</v>
      </c>
      <c r="AE127" s="179">
        <v>1184575</v>
      </c>
      <c r="AF127" s="179">
        <v>1392667</v>
      </c>
      <c r="AG127" s="179">
        <v>920620</v>
      </c>
      <c r="AH127" s="179">
        <v>322783</v>
      </c>
      <c r="AI127" s="179">
        <v>701772</v>
      </c>
      <c r="AJ127" s="179">
        <v>145454</v>
      </c>
      <c r="AK127" s="181">
        <v>349344</v>
      </c>
      <c r="AL127" s="179">
        <v>484490</v>
      </c>
      <c r="AM127" s="179">
        <v>0</v>
      </c>
      <c r="AN127" s="179">
        <v>73050</v>
      </c>
      <c r="AO127" s="179">
        <v>0</v>
      </c>
      <c r="AP127" s="179">
        <v>236110</v>
      </c>
      <c r="AQ127" s="179">
        <v>21823</v>
      </c>
      <c r="AR127" s="179">
        <v>0</v>
      </c>
      <c r="AS127" s="181">
        <v>0</v>
      </c>
      <c r="AT127" s="185"/>
      <c r="AU127" s="164">
        <f t="shared" si="40"/>
        <v>325550610</v>
      </c>
      <c r="AV127" s="164"/>
      <c r="AW127" s="209">
        <f t="shared" si="41"/>
        <v>35399135</v>
      </c>
      <c r="AX127" s="209">
        <f t="shared" si="42"/>
        <v>290151475</v>
      </c>
    </row>
    <row r="128" spans="1:50" ht="11.25" customHeight="1" hidden="1" outlineLevel="1">
      <c r="A128" s="174" t="s">
        <v>129</v>
      </c>
      <c r="B128" s="174"/>
      <c r="C128" s="179">
        <v>13848823</v>
      </c>
      <c r="D128" s="179">
        <v>4662339</v>
      </c>
      <c r="E128" s="179">
        <v>1550076</v>
      </c>
      <c r="F128" s="179">
        <v>1344219</v>
      </c>
      <c r="G128" s="179">
        <v>0</v>
      </c>
      <c r="H128" s="179">
        <v>11237563</v>
      </c>
      <c r="I128" s="179">
        <v>535414</v>
      </c>
      <c r="J128" s="179">
        <v>1595776</v>
      </c>
      <c r="K128" s="179">
        <v>934177</v>
      </c>
      <c r="L128" s="179">
        <v>12159189</v>
      </c>
      <c r="M128" s="179">
        <v>0</v>
      </c>
      <c r="N128" s="179">
        <v>3802707</v>
      </c>
      <c r="O128" s="179">
        <v>292179</v>
      </c>
      <c r="P128" s="179">
        <v>234967</v>
      </c>
      <c r="Q128" s="179">
        <v>1062863</v>
      </c>
      <c r="R128" s="179">
        <v>3014490</v>
      </c>
      <c r="S128" s="179">
        <v>200612</v>
      </c>
      <c r="T128" s="179">
        <v>2340588</v>
      </c>
      <c r="U128" s="179">
        <v>20000</v>
      </c>
      <c r="V128" s="179">
        <v>1519515</v>
      </c>
      <c r="W128" s="179">
        <v>142646</v>
      </c>
      <c r="X128" s="179">
        <v>1164504</v>
      </c>
      <c r="Y128" s="179">
        <v>8910</v>
      </c>
      <c r="Z128" s="179">
        <v>338089</v>
      </c>
      <c r="AA128" s="179">
        <v>157714</v>
      </c>
      <c r="AB128" s="181">
        <v>442512</v>
      </c>
      <c r="AC128" s="179">
        <v>302662</v>
      </c>
      <c r="AD128" s="179">
        <v>820</v>
      </c>
      <c r="AE128" s="179">
        <v>0</v>
      </c>
      <c r="AF128" s="179">
        <v>0</v>
      </c>
      <c r="AG128" s="179">
        <v>193851</v>
      </c>
      <c r="AH128" s="179">
        <v>0</v>
      </c>
      <c r="AI128" s="179">
        <v>1048683</v>
      </c>
      <c r="AJ128" s="179">
        <v>0</v>
      </c>
      <c r="AK128" s="181">
        <v>29738</v>
      </c>
      <c r="AL128" s="179">
        <v>21758</v>
      </c>
      <c r="AM128" s="179">
        <v>27774</v>
      </c>
      <c r="AN128" s="179">
        <v>1204</v>
      </c>
      <c r="AO128" s="179">
        <v>0</v>
      </c>
      <c r="AP128" s="179">
        <v>22838</v>
      </c>
      <c r="AQ128" s="179">
        <v>0</v>
      </c>
      <c r="AR128" s="179">
        <v>0</v>
      </c>
      <c r="AS128" s="181">
        <v>0</v>
      </c>
      <c r="AT128" s="185"/>
      <c r="AU128" s="164">
        <f t="shared" si="40"/>
        <v>64259200</v>
      </c>
      <c r="AV128" s="164"/>
      <c r="AW128" s="209">
        <f t="shared" si="41"/>
        <v>7187512</v>
      </c>
      <c r="AX128" s="209">
        <f t="shared" si="42"/>
        <v>57071688</v>
      </c>
    </row>
    <row r="129" spans="1:50" ht="11.25" customHeight="1" hidden="1" outlineLevel="1">
      <c r="A129" s="174" t="s">
        <v>130</v>
      </c>
      <c r="B129" s="174"/>
      <c r="C129" s="179">
        <v>0</v>
      </c>
      <c r="D129" s="179">
        <v>0</v>
      </c>
      <c r="E129" s="179">
        <v>0</v>
      </c>
      <c r="F129" s="179">
        <v>0</v>
      </c>
      <c r="G129" s="179">
        <v>0</v>
      </c>
      <c r="H129" s="179">
        <v>0</v>
      </c>
      <c r="I129" s="179">
        <v>0</v>
      </c>
      <c r="J129" s="179">
        <v>0</v>
      </c>
      <c r="K129" s="179">
        <v>0</v>
      </c>
      <c r="L129" s="179">
        <v>0</v>
      </c>
      <c r="M129" s="179">
        <v>0</v>
      </c>
      <c r="N129" s="179">
        <v>0</v>
      </c>
      <c r="O129" s="179">
        <v>0</v>
      </c>
      <c r="P129" s="179">
        <v>0</v>
      </c>
      <c r="Q129" s="179">
        <v>0</v>
      </c>
      <c r="R129" s="179">
        <v>0</v>
      </c>
      <c r="S129" s="179">
        <v>0</v>
      </c>
      <c r="T129" s="179">
        <v>0</v>
      </c>
      <c r="U129" s="179">
        <v>0</v>
      </c>
      <c r="V129" s="179">
        <v>0</v>
      </c>
      <c r="W129" s="179">
        <v>0</v>
      </c>
      <c r="X129" s="179">
        <v>0</v>
      </c>
      <c r="Y129" s="179">
        <v>0</v>
      </c>
      <c r="Z129" s="179">
        <v>0</v>
      </c>
      <c r="AA129" s="179">
        <v>0</v>
      </c>
      <c r="AB129" s="181">
        <v>0</v>
      </c>
      <c r="AC129" s="179">
        <v>0</v>
      </c>
      <c r="AD129" s="179">
        <v>0</v>
      </c>
      <c r="AE129" s="179">
        <v>0</v>
      </c>
      <c r="AF129" s="179">
        <v>0</v>
      </c>
      <c r="AG129" s="179">
        <v>0</v>
      </c>
      <c r="AH129" s="179">
        <v>0</v>
      </c>
      <c r="AI129" s="179">
        <v>0</v>
      </c>
      <c r="AJ129" s="179">
        <v>0</v>
      </c>
      <c r="AK129" s="181">
        <v>0</v>
      </c>
      <c r="AL129" s="179">
        <v>0</v>
      </c>
      <c r="AM129" s="179">
        <v>0</v>
      </c>
      <c r="AN129" s="179">
        <v>0</v>
      </c>
      <c r="AO129" s="179">
        <v>0</v>
      </c>
      <c r="AP129" s="179">
        <v>0</v>
      </c>
      <c r="AQ129" s="179">
        <v>0</v>
      </c>
      <c r="AR129" s="179">
        <v>0</v>
      </c>
      <c r="AS129" s="181">
        <v>0</v>
      </c>
      <c r="AT129" s="185"/>
      <c r="AU129" s="164">
        <f t="shared" si="40"/>
        <v>0</v>
      </c>
      <c r="AV129" s="164"/>
      <c r="AW129" s="209">
        <f t="shared" si="41"/>
        <v>0</v>
      </c>
      <c r="AX129" s="209">
        <f t="shared" si="42"/>
        <v>0</v>
      </c>
    </row>
    <row r="130" spans="1:50" ht="11.25" customHeight="1" hidden="1" outlineLevel="1">
      <c r="A130" s="174" t="s">
        <v>131</v>
      </c>
      <c r="B130" s="174"/>
      <c r="C130" s="179">
        <v>0</v>
      </c>
      <c r="D130" s="179">
        <v>0</v>
      </c>
      <c r="E130" s="179">
        <v>0</v>
      </c>
      <c r="F130" s="179">
        <v>0</v>
      </c>
      <c r="G130" s="179">
        <v>0</v>
      </c>
      <c r="H130" s="179">
        <v>0</v>
      </c>
      <c r="I130" s="179">
        <v>0</v>
      </c>
      <c r="J130" s="179">
        <v>0</v>
      </c>
      <c r="K130" s="179">
        <v>0</v>
      </c>
      <c r="L130" s="179">
        <v>0</v>
      </c>
      <c r="M130" s="179">
        <v>3234</v>
      </c>
      <c r="N130" s="179">
        <v>0</v>
      </c>
      <c r="O130" s="179">
        <v>0</v>
      </c>
      <c r="P130" s="179">
        <v>0</v>
      </c>
      <c r="Q130" s="179">
        <v>0</v>
      </c>
      <c r="R130" s="179">
        <v>0</v>
      </c>
      <c r="S130" s="179">
        <v>0</v>
      </c>
      <c r="T130" s="179">
        <v>0</v>
      </c>
      <c r="U130" s="179">
        <v>0</v>
      </c>
      <c r="V130" s="179">
        <v>0</v>
      </c>
      <c r="W130" s="179">
        <v>0</v>
      </c>
      <c r="X130" s="179">
        <v>0</v>
      </c>
      <c r="Y130" s="179">
        <v>0</v>
      </c>
      <c r="Z130" s="179">
        <v>0</v>
      </c>
      <c r="AA130" s="179">
        <v>0</v>
      </c>
      <c r="AB130" s="181">
        <v>0</v>
      </c>
      <c r="AC130" s="179">
        <v>0</v>
      </c>
      <c r="AD130" s="179">
        <v>0</v>
      </c>
      <c r="AE130" s="179">
        <v>0</v>
      </c>
      <c r="AF130" s="179">
        <v>0</v>
      </c>
      <c r="AG130" s="179">
        <v>0</v>
      </c>
      <c r="AH130" s="179">
        <v>0</v>
      </c>
      <c r="AI130" s="179">
        <v>0</v>
      </c>
      <c r="AJ130" s="179">
        <v>0</v>
      </c>
      <c r="AK130" s="181">
        <v>0</v>
      </c>
      <c r="AL130" s="179">
        <v>0</v>
      </c>
      <c r="AM130" s="179">
        <v>0</v>
      </c>
      <c r="AN130" s="179">
        <v>0</v>
      </c>
      <c r="AO130" s="179">
        <v>0</v>
      </c>
      <c r="AP130" s="179">
        <v>0</v>
      </c>
      <c r="AQ130" s="179">
        <v>0</v>
      </c>
      <c r="AR130" s="179">
        <v>0</v>
      </c>
      <c r="AS130" s="181">
        <v>0</v>
      </c>
      <c r="AT130" s="185"/>
      <c r="AU130" s="164">
        <f t="shared" si="40"/>
        <v>3234</v>
      </c>
      <c r="AV130" s="164"/>
      <c r="AW130" s="209">
        <f t="shared" si="41"/>
        <v>0</v>
      </c>
      <c r="AX130" s="209">
        <f t="shared" si="42"/>
        <v>3234</v>
      </c>
    </row>
    <row r="131" spans="1:50" ht="11.25" customHeight="1" hidden="1" outlineLevel="1">
      <c r="A131" s="174" t="s">
        <v>132</v>
      </c>
      <c r="B131" s="174"/>
      <c r="C131" s="179">
        <v>0</v>
      </c>
      <c r="D131" s="179">
        <v>0</v>
      </c>
      <c r="E131" s="179">
        <v>368248</v>
      </c>
      <c r="F131" s="179">
        <v>1344481</v>
      </c>
      <c r="G131" s="179">
        <v>103626</v>
      </c>
      <c r="H131" s="179">
        <v>3201958</v>
      </c>
      <c r="I131" s="179">
        <v>-3512</v>
      </c>
      <c r="J131" s="179">
        <v>12730</v>
      </c>
      <c r="K131" s="179">
        <v>2047</v>
      </c>
      <c r="L131" s="179">
        <v>90564</v>
      </c>
      <c r="M131" s="179">
        <v>7969</v>
      </c>
      <c r="N131" s="179">
        <v>0</v>
      </c>
      <c r="O131" s="179">
        <v>0</v>
      </c>
      <c r="P131" s="179">
        <v>0</v>
      </c>
      <c r="Q131" s="179">
        <v>0</v>
      </c>
      <c r="R131" s="179">
        <v>102309</v>
      </c>
      <c r="S131" s="179">
        <v>21272</v>
      </c>
      <c r="T131" s="179">
        <v>17412</v>
      </c>
      <c r="U131" s="179">
        <v>0</v>
      </c>
      <c r="V131" s="179">
        <v>7884</v>
      </c>
      <c r="W131" s="179">
        <v>740</v>
      </c>
      <c r="X131" s="179">
        <v>64660</v>
      </c>
      <c r="Y131" s="179">
        <v>29319</v>
      </c>
      <c r="Z131" s="179">
        <v>0</v>
      </c>
      <c r="AA131" s="179">
        <v>0</v>
      </c>
      <c r="AB131" s="181">
        <v>-4301</v>
      </c>
      <c r="AC131" s="179">
        <v>0</v>
      </c>
      <c r="AD131" s="179">
        <v>0</v>
      </c>
      <c r="AE131" s="179">
        <v>0</v>
      </c>
      <c r="AF131" s="179">
        <v>0</v>
      </c>
      <c r="AG131" s="179">
        <v>0</v>
      </c>
      <c r="AH131" s="179">
        <v>0</v>
      </c>
      <c r="AI131" s="179">
        <v>0</v>
      </c>
      <c r="AJ131" s="179">
        <v>0</v>
      </c>
      <c r="AK131" s="181">
        <v>0</v>
      </c>
      <c r="AL131" s="179">
        <v>0</v>
      </c>
      <c r="AM131" s="179">
        <v>729</v>
      </c>
      <c r="AN131" s="179">
        <v>0</v>
      </c>
      <c r="AO131" s="179">
        <v>0</v>
      </c>
      <c r="AP131" s="179">
        <v>0</v>
      </c>
      <c r="AQ131" s="179">
        <v>11591</v>
      </c>
      <c r="AR131" s="179">
        <v>31407</v>
      </c>
      <c r="AS131" s="181">
        <v>18054</v>
      </c>
      <c r="AT131" s="185"/>
      <c r="AU131" s="164">
        <f t="shared" si="40"/>
        <v>5429187</v>
      </c>
      <c r="AV131" s="164"/>
      <c r="AW131" s="209">
        <f t="shared" si="41"/>
        <v>61052</v>
      </c>
      <c r="AX131" s="209">
        <f t="shared" si="42"/>
        <v>5368135</v>
      </c>
    </row>
    <row r="132" spans="1:50" ht="11.25" customHeight="1" collapsed="1">
      <c r="A132" s="176" t="s">
        <v>133</v>
      </c>
      <c r="B132" s="176"/>
      <c r="C132" s="185">
        <f>SUM(C123:C131)</f>
        <v>32886079</v>
      </c>
      <c r="D132" s="185">
        <f aca="true" t="shared" si="43" ref="D132:AS132">SUM(D123:D131)</f>
        <v>64032783</v>
      </c>
      <c r="E132" s="185">
        <f t="shared" si="43"/>
        <v>63606163</v>
      </c>
      <c r="F132" s="185">
        <f t="shared" si="43"/>
        <v>64771613</v>
      </c>
      <c r="G132" s="185">
        <f t="shared" si="43"/>
        <v>3297795</v>
      </c>
      <c r="H132" s="185">
        <f t="shared" si="43"/>
        <v>64357023</v>
      </c>
      <c r="I132" s="185">
        <f t="shared" si="43"/>
        <v>13214114</v>
      </c>
      <c r="J132" s="185">
        <f t="shared" si="43"/>
        <v>3582441</v>
      </c>
      <c r="K132" s="185">
        <f t="shared" si="43"/>
        <v>7240252</v>
      </c>
      <c r="L132" s="185">
        <f>SUM(L123:L131)</f>
        <v>52279168</v>
      </c>
      <c r="M132" s="185">
        <f t="shared" si="43"/>
        <v>40766552</v>
      </c>
      <c r="N132" s="185">
        <f t="shared" si="43"/>
        <v>12268291</v>
      </c>
      <c r="O132" s="185">
        <f t="shared" si="43"/>
        <v>6151051</v>
      </c>
      <c r="P132" s="185">
        <f t="shared" si="43"/>
        <v>25517177</v>
      </c>
      <c r="Q132" s="185">
        <f>SUM(Q123:Q131)</f>
        <v>33743414</v>
      </c>
      <c r="R132" s="185">
        <f t="shared" si="43"/>
        <v>21367516</v>
      </c>
      <c r="S132" s="185">
        <f t="shared" si="43"/>
        <v>7583682</v>
      </c>
      <c r="T132" s="185">
        <f t="shared" si="43"/>
        <v>18614528</v>
      </c>
      <c r="U132" s="185">
        <f>SUM(U123:U131)</f>
        <v>2650216</v>
      </c>
      <c r="V132" s="185">
        <f t="shared" si="43"/>
        <v>19315431</v>
      </c>
      <c r="W132" s="185">
        <f t="shared" si="43"/>
        <v>1813253</v>
      </c>
      <c r="X132" s="185">
        <f>SUM(X123:X131)</f>
        <v>12107208</v>
      </c>
      <c r="Y132" s="185">
        <f>SUM(Y123:Y131)</f>
        <v>2706227</v>
      </c>
      <c r="Z132" s="185">
        <f t="shared" si="43"/>
        <v>6424246</v>
      </c>
      <c r="AA132" s="185">
        <f t="shared" si="43"/>
        <v>8443115</v>
      </c>
      <c r="AB132" s="185">
        <f t="shared" si="43"/>
        <v>12141887</v>
      </c>
      <c r="AC132" s="185">
        <f t="shared" si="43"/>
        <v>3646441</v>
      </c>
      <c r="AD132" s="185">
        <f>SUM(AD123:AD131)</f>
        <v>6082788</v>
      </c>
      <c r="AE132" s="185">
        <f t="shared" si="43"/>
        <v>1924030</v>
      </c>
      <c r="AF132" s="185">
        <f>SUM(AF123:AF131)</f>
        <v>5122885</v>
      </c>
      <c r="AG132" s="185">
        <f t="shared" si="43"/>
        <v>1480538</v>
      </c>
      <c r="AH132" s="185">
        <f aca="true" t="shared" si="44" ref="AH132:AQ132">SUM(AH123:AH131)</f>
        <v>383955</v>
      </c>
      <c r="AI132" s="185">
        <f t="shared" si="44"/>
        <v>2001300</v>
      </c>
      <c r="AJ132" s="185">
        <f>SUM(AJ123:AJ131)</f>
        <v>500944</v>
      </c>
      <c r="AK132" s="185">
        <f t="shared" si="44"/>
        <v>470294</v>
      </c>
      <c r="AL132" s="185">
        <f t="shared" si="44"/>
        <v>671472</v>
      </c>
      <c r="AM132" s="185">
        <f t="shared" si="44"/>
        <v>148920</v>
      </c>
      <c r="AN132" s="185">
        <f t="shared" si="44"/>
        <v>182094</v>
      </c>
      <c r="AO132" s="185">
        <f t="shared" si="44"/>
        <v>79790</v>
      </c>
      <c r="AP132" s="185">
        <f t="shared" si="44"/>
        <v>318175</v>
      </c>
      <c r="AQ132" s="185">
        <f t="shared" si="44"/>
        <v>40427</v>
      </c>
      <c r="AR132" s="185">
        <f t="shared" si="43"/>
        <v>90938</v>
      </c>
      <c r="AS132" s="185">
        <f t="shared" si="43"/>
        <v>204158</v>
      </c>
      <c r="AT132" s="167"/>
      <c r="AU132" s="185">
        <f>SUM(AU123:AU131)</f>
        <v>624230374</v>
      </c>
      <c r="AV132" s="164"/>
      <c r="AW132" s="209">
        <f>SUM(AW123:AW131)</f>
        <v>115727160</v>
      </c>
      <c r="AX132" s="209">
        <f>SUM(AX123:AX131)</f>
        <v>508503214</v>
      </c>
    </row>
    <row r="133" spans="1:50" ht="11.25" customHeight="1">
      <c r="A133" s="176"/>
      <c r="B133" s="176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81"/>
      <c r="AC133" s="179"/>
      <c r="AD133" s="179"/>
      <c r="AE133" s="179"/>
      <c r="AF133" s="179"/>
      <c r="AG133" s="179"/>
      <c r="AH133" s="179"/>
      <c r="AI133" s="179"/>
      <c r="AJ133" s="179"/>
      <c r="AK133" s="181"/>
      <c r="AL133" s="179"/>
      <c r="AM133" s="179"/>
      <c r="AN133" s="179"/>
      <c r="AO133" s="179"/>
      <c r="AP133" s="179"/>
      <c r="AQ133" s="179"/>
      <c r="AR133" s="179"/>
      <c r="AS133" s="181"/>
      <c r="AT133" s="185"/>
      <c r="AU133" s="164"/>
      <c r="AV133" s="164"/>
      <c r="AW133" s="210"/>
      <c r="AX133" s="210"/>
    </row>
    <row r="134" spans="1:50" ht="11.25" customHeight="1" hidden="1" outlineLevel="1">
      <c r="A134" s="176"/>
      <c r="B134" s="176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64"/>
      <c r="AV134" s="164"/>
      <c r="AW134" s="210"/>
      <c r="AX134" s="210"/>
    </row>
    <row r="135" spans="1:50" ht="11.25" customHeight="1" hidden="1" outlineLevel="1">
      <c r="A135" s="174" t="s">
        <v>47</v>
      </c>
      <c r="B135" s="174"/>
      <c r="C135" s="179">
        <v>442857</v>
      </c>
      <c r="D135" s="179">
        <v>15408354</v>
      </c>
      <c r="E135" s="179">
        <v>4132296</v>
      </c>
      <c r="F135" s="179">
        <v>5386541</v>
      </c>
      <c r="G135" s="179">
        <v>23498</v>
      </c>
      <c r="H135" s="179">
        <v>2197304</v>
      </c>
      <c r="I135" s="179">
        <v>246171</v>
      </c>
      <c r="J135" s="179">
        <v>540407</v>
      </c>
      <c r="K135" s="179">
        <v>136716</v>
      </c>
      <c r="L135" s="179">
        <v>1964846</v>
      </c>
      <c r="M135" s="179">
        <v>1586829</v>
      </c>
      <c r="N135" s="179">
        <v>130432</v>
      </c>
      <c r="O135" s="179">
        <v>637592</v>
      </c>
      <c r="P135" s="179">
        <v>1219171</v>
      </c>
      <c r="Q135" s="179">
        <v>1933002</v>
      </c>
      <c r="R135" s="179">
        <v>979262</v>
      </c>
      <c r="S135" s="179">
        <v>42568</v>
      </c>
      <c r="T135" s="179">
        <v>265586</v>
      </c>
      <c r="U135" s="179">
        <v>8293</v>
      </c>
      <c r="V135" s="179">
        <v>249905</v>
      </c>
      <c r="W135" s="179">
        <v>23460</v>
      </c>
      <c r="X135" s="179">
        <v>572429</v>
      </c>
      <c r="Y135" s="179">
        <v>525361</v>
      </c>
      <c r="Z135" s="179">
        <v>1124359</v>
      </c>
      <c r="AA135" s="179">
        <v>793783</v>
      </c>
      <c r="AB135" s="181">
        <v>481727</v>
      </c>
      <c r="AC135" s="179">
        <v>427579</v>
      </c>
      <c r="AD135" s="179">
        <v>469907</v>
      </c>
      <c r="AE135" s="179">
        <v>193233</v>
      </c>
      <c r="AF135" s="179">
        <v>274934</v>
      </c>
      <c r="AG135" s="179">
        <v>95429</v>
      </c>
      <c r="AH135" s="179">
        <v>1947</v>
      </c>
      <c r="AI135" s="179">
        <v>168123</v>
      </c>
      <c r="AJ135" s="179">
        <v>106070</v>
      </c>
      <c r="AK135" s="181">
        <v>50785</v>
      </c>
      <c r="AL135" s="179">
        <v>138714</v>
      </c>
      <c r="AM135" s="179">
        <v>41143</v>
      </c>
      <c r="AN135" s="179">
        <v>50421</v>
      </c>
      <c r="AO135" s="179">
        <v>42837</v>
      </c>
      <c r="AP135" s="179">
        <v>54221</v>
      </c>
      <c r="AQ135" s="179">
        <v>29030</v>
      </c>
      <c r="AR135" s="179">
        <v>79211</v>
      </c>
      <c r="AS135" s="181">
        <v>198151</v>
      </c>
      <c r="AT135" s="185"/>
      <c r="AU135" s="164">
        <f>SUM(C135:AT135)</f>
        <v>43474484</v>
      </c>
      <c r="AV135" s="164"/>
      <c r="AW135" s="209">
        <f>SUMIF($C$163:$AS$163,"já",C135:AS135)</f>
        <v>19808608</v>
      </c>
      <c r="AX135" s="209">
        <f>SUMIF($C$163:$AS$163,"nei",C135:AS135)</f>
        <v>23665876</v>
      </c>
    </row>
    <row r="136" spans="1:50" ht="11.25" customHeight="1" hidden="1" outlineLevel="1">
      <c r="A136" s="174" t="s">
        <v>135</v>
      </c>
      <c r="B136" s="174"/>
      <c r="C136" s="179">
        <v>173465</v>
      </c>
      <c r="D136" s="179">
        <v>342680</v>
      </c>
      <c r="E136" s="179">
        <v>208051</v>
      </c>
      <c r="F136" s="179">
        <v>125085</v>
      </c>
      <c r="G136" s="179">
        <v>12289</v>
      </c>
      <c r="H136" s="179">
        <v>103545</v>
      </c>
      <c r="I136" s="179">
        <v>18929</v>
      </c>
      <c r="J136" s="179">
        <v>3002</v>
      </c>
      <c r="K136" s="179">
        <v>6461</v>
      </c>
      <c r="L136" s="179">
        <v>54176</v>
      </c>
      <c r="M136" s="179">
        <v>57956</v>
      </c>
      <c r="N136" s="179">
        <v>36719</v>
      </c>
      <c r="O136" s="179">
        <v>44362</v>
      </c>
      <c r="P136" s="179">
        <v>67008</v>
      </c>
      <c r="Q136" s="179">
        <v>14372</v>
      </c>
      <c r="R136" s="179">
        <v>19402</v>
      </c>
      <c r="S136" s="179">
        <v>26159</v>
      </c>
      <c r="T136" s="179">
        <v>123691</v>
      </c>
      <c r="U136" s="179">
        <v>5512</v>
      </c>
      <c r="V136" s="179">
        <v>17854</v>
      </c>
      <c r="W136" s="179">
        <v>1676</v>
      </c>
      <c r="X136" s="179">
        <v>16444</v>
      </c>
      <c r="Y136" s="179">
        <v>24759</v>
      </c>
      <c r="Z136" s="179">
        <v>42882</v>
      </c>
      <c r="AA136" s="179">
        <v>50291</v>
      </c>
      <c r="AB136" s="181">
        <v>285</v>
      </c>
      <c r="AC136" s="179">
        <v>0</v>
      </c>
      <c r="AD136" s="179">
        <v>245</v>
      </c>
      <c r="AE136" s="179">
        <v>7410</v>
      </c>
      <c r="AF136" s="179">
        <v>4275</v>
      </c>
      <c r="AG136" s="179">
        <v>8758</v>
      </c>
      <c r="AH136" s="179">
        <v>5903</v>
      </c>
      <c r="AI136" s="179">
        <v>24035</v>
      </c>
      <c r="AJ136" s="179">
        <v>7122</v>
      </c>
      <c r="AK136" s="181">
        <v>38</v>
      </c>
      <c r="AL136" s="179">
        <v>4171</v>
      </c>
      <c r="AM136" s="179">
        <v>165</v>
      </c>
      <c r="AN136" s="179">
        <v>0</v>
      </c>
      <c r="AO136" s="179">
        <v>0</v>
      </c>
      <c r="AP136" s="179">
        <v>1854</v>
      </c>
      <c r="AQ136" s="179">
        <v>20</v>
      </c>
      <c r="AR136" s="179">
        <v>0</v>
      </c>
      <c r="AS136" s="181">
        <v>7</v>
      </c>
      <c r="AT136" s="185"/>
      <c r="AU136" s="164">
        <f>SUM(C136:AT136)</f>
        <v>1661058</v>
      </c>
      <c r="AV136" s="164"/>
      <c r="AW136" s="209">
        <f>SUMIF($C$163:$AS$163,"já",C136:AS136)</f>
        <v>448866</v>
      </c>
      <c r="AX136" s="209">
        <f>SUMIF($C$163:$AS$163,"nei",C136:AS136)</f>
        <v>1212192</v>
      </c>
    </row>
    <row r="137" spans="1:50" ht="11.25" customHeight="1" hidden="1" outlineLevel="1">
      <c r="A137" s="174" t="s">
        <v>136</v>
      </c>
      <c r="B137" s="174"/>
      <c r="C137" s="179">
        <v>48444</v>
      </c>
      <c r="D137" s="179">
        <v>210225</v>
      </c>
      <c r="E137" s="179">
        <v>191126</v>
      </c>
      <c r="F137" s="179">
        <v>108223</v>
      </c>
      <c r="G137" s="179">
        <v>11817</v>
      </c>
      <c r="H137" s="179">
        <v>101079</v>
      </c>
      <c r="I137" s="179">
        <v>16864</v>
      </c>
      <c r="J137" s="179">
        <v>4948</v>
      </c>
      <c r="K137" s="179">
        <v>5611</v>
      </c>
      <c r="L137" s="179">
        <v>105560</v>
      </c>
      <c r="M137" s="179">
        <v>65511</v>
      </c>
      <c r="N137" s="179">
        <v>17818</v>
      </c>
      <c r="O137" s="179">
        <v>82420</v>
      </c>
      <c r="P137" s="179">
        <v>71864</v>
      </c>
      <c r="Q137" s="179">
        <v>33828</v>
      </c>
      <c r="R137" s="179">
        <v>38447</v>
      </c>
      <c r="S137" s="179">
        <v>16827</v>
      </c>
      <c r="T137" s="179">
        <v>42079</v>
      </c>
      <c r="U137" s="179">
        <v>8636</v>
      </c>
      <c r="V137" s="179">
        <v>48132</v>
      </c>
      <c r="W137" s="179">
        <v>4518</v>
      </c>
      <c r="X137" s="179">
        <v>53529</v>
      </c>
      <c r="Y137" s="179">
        <v>27002</v>
      </c>
      <c r="Z137" s="179">
        <v>20876</v>
      </c>
      <c r="AA137" s="179">
        <v>36456</v>
      </c>
      <c r="AB137" s="181">
        <v>18882</v>
      </c>
      <c r="AC137" s="179">
        <v>4075</v>
      </c>
      <c r="AD137" s="179">
        <v>24757</v>
      </c>
      <c r="AE137" s="179">
        <v>8181</v>
      </c>
      <c r="AF137" s="179">
        <v>11170</v>
      </c>
      <c r="AG137" s="179">
        <v>6337</v>
      </c>
      <c r="AH137" s="179">
        <v>1309</v>
      </c>
      <c r="AI137" s="179">
        <v>7026</v>
      </c>
      <c r="AJ137" s="179">
        <v>19103</v>
      </c>
      <c r="AK137" s="181">
        <v>6502</v>
      </c>
      <c r="AL137" s="179">
        <v>-870</v>
      </c>
      <c r="AM137" s="179">
        <v>2769</v>
      </c>
      <c r="AN137" s="179">
        <v>2476</v>
      </c>
      <c r="AO137" s="179">
        <v>1455</v>
      </c>
      <c r="AP137" s="179">
        <v>1854</v>
      </c>
      <c r="AQ137" s="179">
        <v>801</v>
      </c>
      <c r="AR137" s="179">
        <v>3804</v>
      </c>
      <c r="AS137" s="181">
        <v>3257</v>
      </c>
      <c r="AT137" s="185"/>
      <c r="AU137" s="164">
        <f>SUM(C137:AT137)</f>
        <v>1494728</v>
      </c>
      <c r="AV137" s="164"/>
      <c r="AW137" s="209">
        <f>SUMIF($C$163:$AS$163,"já",C137:AS137)</f>
        <v>328233</v>
      </c>
      <c r="AX137" s="209">
        <f>SUMIF($C$163:$AS$163,"nei",C137:AS137)</f>
        <v>1166495</v>
      </c>
    </row>
    <row r="138" spans="1:50" ht="11.25" customHeight="1" hidden="1" outlineLevel="1">
      <c r="A138" s="174" t="s">
        <v>137</v>
      </c>
      <c r="B138" s="174"/>
      <c r="C138" s="179">
        <v>0</v>
      </c>
      <c r="D138" s="179">
        <v>0</v>
      </c>
      <c r="E138" s="179">
        <v>0</v>
      </c>
      <c r="F138" s="179">
        <v>0</v>
      </c>
      <c r="G138" s="179">
        <v>0</v>
      </c>
      <c r="H138" s="179">
        <v>0</v>
      </c>
      <c r="I138" s="179">
        <v>0</v>
      </c>
      <c r="J138" s="179">
        <v>0</v>
      </c>
      <c r="K138" s="179">
        <v>0</v>
      </c>
      <c r="L138" s="179">
        <v>0</v>
      </c>
      <c r="M138" s="179">
        <v>0</v>
      </c>
      <c r="N138" s="179">
        <v>13253</v>
      </c>
      <c r="O138" s="179">
        <v>0</v>
      </c>
      <c r="P138" s="179">
        <v>0</v>
      </c>
      <c r="Q138" s="179">
        <v>0</v>
      </c>
      <c r="R138" s="179">
        <v>0</v>
      </c>
      <c r="S138" s="179">
        <v>0</v>
      </c>
      <c r="T138" s="179">
        <v>0</v>
      </c>
      <c r="U138" s="179">
        <v>0</v>
      </c>
      <c r="V138" s="179">
        <v>0</v>
      </c>
      <c r="W138" s="179">
        <v>0</v>
      </c>
      <c r="X138" s="179">
        <v>0</v>
      </c>
      <c r="Y138" s="179">
        <v>0</v>
      </c>
      <c r="Z138" s="179">
        <v>0</v>
      </c>
      <c r="AA138" s="179">
        <v>0</v>
      </c>
      <c r="AB138" s="181">
        <v>0</v>
      </c>
      <c r="AC138" s="179">
        <v>0</v>
      </c>
      <c r="AD138" s="179">
        <v>0</v>
      </c>
      <c r="AE138" s="179">
        <v>0</v>
      </c>
      <c r="AF138" s="179">
        <v>0</v>
      </c>
      <c r="AG138" s="179">
        <v>0</v>
      </c>
      <c r="AH138" s="179">
        <v>0</v>
      </c>
      <c r="AI138" s="179">
        <v>0</v>
      </c>
      <c r="AJ138" s="179">
        <v>0</v>
      </c>
      <c r="AK138" s="181">
        <v>0</v>
      </c>
      <c r="AL138" s="179">
        <v>0</v>
      </c>
      <c r="AM138" s="179">
        <v>0</v>
      </c>
      <c r="AN138" s="179">
        <v>0</v>
      </c>
      <c r="AO138" s="179">
        <v>0</v>
      </c>
      <c r="AP138" s="179">
        <v>0</v>
      </c>
      <c r="AQ138" s="179">
        <v>0</v>
      </c>
      <c r="AR138" s="179">
        <v>0</v>
      </c>
      <c r="AS138" s="181">
        <v>0</v>
      </c>
      <c r="AT138" s="185"/>
      <c r="AU138" s="164">
        <f>SUM(C138:AT138)</f>
        <v>13253</v>
      </c>
      <c r="AV138" s="164"/>
      <c r="AW138" s="209">
        <f>SUMIF($C$163:$AS$163,"já",C138:AS138)</f>
        <v>0</v>
      </c>
      <c r="AX138" s="209">
        <f>SUMIF($C$163:$AS$163,"nei",C138:AS138)</f>
        <v>13253</v>
      </c>
    </row>
    <row r="139" spans="1:50" ht="11.25" customHeight="1" hidden="1" outlineLevel="1">
      <c r="A139" s="174" t="s">
        <v>138</v>
      </c>
      <c r="B139" s="174"/>
      <c r="C139" s="179">
        <v>0</v>
      </c>
      <c r="D139" s="179">
        <v>0</v>
      </c>
      <c r="E139" s="179">
        <v>67561</v>
      </c>
      <c r="F139" s="179">
        <v>0</v>
      </c>
      <c r="G139" s="179">
        <v>3250191</v>
      </c>
      <c r="H139" s="179">
        <v>97082</v>
      </c>
      <c r="I139" s="179">
        <v>32</v>
      </c>
      <c r="J139" s="179">
        <v>0</v>
      </c>
      <c r="K139" s="179">
        <v>31</v>
      </c>
      <c r="L139" s="179">
        <v>701629</v>
      </c>
      <c r="M139" s="179">
        <v>304</v>
      </c>
      <c r="N139" s="179">
        <v>0</v>
      </c>
      <c r="O139" s="179">
        <v>0</v>
      </c>
      <c r="P139" s="179">
        <v>0</v>
      </c>
      <c r="Q139" s="179">
        <v>0</v>
      </c>
      <c r="R139" s="179">
        <v>13957</v>
      </c>
      <c r="S139" s="179">
        <v>30199</v>
      </c>
      <c r="T139" s="179">
        <v>0</v>
      </c>
      <c r="U139" s="179">
        <v>0</v>
      </c>
      <c r="V139" s="179">
        <v>0</v>
      </c>
      <c r="W139" s="179">
        <v>0</v>
      </c>
      <c r="X139" s="179">
        <v>0</v>
      </c>
      <c r="Y139" s="179">
        <v>14636</v>
      </c>
      <c r="Z139" s="179">
        <v>42469</v>
      </c>
      <c r="AA139" s="179">
        <v>0</v>
      </c>
      <c r="AB139" s="181">
        <v>0</v>
      </c>
      <c r="AC139" s="179">
        <v>84359</v>
      </c>
      <c r="AD139" s="179">
        <v>0</v>
      </c>
      <c r="AE139" s="179">
        <v>679215</v>
      </c>
      <c r="AF139" s="179">
        <v>0</v>
      </c>
      <c r="AG139" s="179">
        <v>0</v>
      </c>
      <c r="AH139" s="179">
        <v>78468</v>
      </c>
      <c r="AI139" s="179">
        <v>101000</v>
      </c>
      <c r="AJ139" s="179">
        <v>0</v>
      </c>
      <c r="AK139" s="181">
        <v>0</v>
      </c>
      <c r="AL139" s="179">
        <v>0</v>
      </c>
      <c r="AM139" s="179">
        <v>29840</v>
      </c>
      <c r="AN139" s="179">
        <v>0</v>
      </c>
      <c r="AO139" s="179">
        <v>1</v>
      </c>
      <c r="AP139" s="179">
        <v>0</v>
      </c>
      <c r="AQ139" s="179">
        <v>0</v>
      </c>
      <c r="AR139" s="179">
        <v>0</v>
      </c>
      <c r="AS139" s="181">
        <v>0</v>
      </c>
      <c r="AT139" s="185"/>
      <c r="AU139" s="164">
        <f>SUM(C139:AT139)</f>
        <v>5190974</v>
      </c>
      <c r="AV139" s="164"/>
      <c r="AW139" s="209">
        <f>SUMIF($C$163:$AS$163,"já",C139:AS139)</f>
        <v>822684</v>
      </c>
      <c r="AX139" s="209">
        <f>SUMIF($C$163:$AS$163,"nei",C139:AS139)</f>
        <v>4368290</v>
      </c>
    </row>
    <row r="140" spans="1:50" ht="11.25" customHeight="1" collapsed="1">
      <c r="A140" s="176" t="s">
        <v>139</v>
      </c>
      <c r="B140" s="176"/>
      <c r="C140" s="185">
        <f>SUM(C135:C139)</f>
        <v>664766</v>
      </c>
      <c r="D140" s="185">
        <f aca="true" t="shared" si="45" ref="D140:AS140">SUM(D135:D139)</f>
        <v>15961259</v>
      </c>
      <c r="E140" s="185">
        <f t="shared" si="45"/>
        <v>4599034</v>
      </c>
      <c r="F140" s="185">
        <f t="shared" si="45"/>
        <v>5619849</v>
      </c>
      <c r="G140" s="185">
        <f t="shared" si="45"/>
        <v>3297795</v>
      </c>
      <c r="H140" s="185">
        <f t="shared" si="45"/>
        <v>2499010</v>
      </c>
      <c r="I140" s="185">
        <f t="shared" si="45"/>
        <v>281996</v>
      </c>
      <c r="J140" s="185">
        <f t="shared" si="45"/>
        <v>548357</v>
      </c>
      <c r="K140" s="185">
        <f t="shared" si="45"/>
        <v>148819</v>
      </c>
      <c r="L140" s="185">
        <f>SUM(L135:L139)</f>
        <v>2826211</v>
      </c>
      <c r="M140" s="185">
        <f t="shared" si="45"/>
        <v>1710600</v>
      </c>
      <c r="N140" s="185">
        <f t="shared" si="45"/>
        <v>198222</v>
      </c>
      <c r="O140" s="185">
        <f t="shared" si="45"/>
        <v>764374</v>
      </c>
      <c r="P140" s="185">
        <f t="shared" si="45"/>
        <v>1358043</v>
      </c>
      <c r="Q140" s="185">
        <f>SUM(Q135:Q139)</f>
        <v>1981202</v>
      </c>
      <c r="R140" s="185">
        <f t="shared" si="45"/>
        <v>1051068</v>
      </c>
      <c r="S140" s="185">
        <f t="shared" si="45"/>
        <v>115753</v>
      </c>
      <c r="T140" s="185">
        <f t="shared" si="45"/>
        <v>431356</v>
      </c>
      <c r="U140" s="185">
        <f>SUM(U135:U139)</f>
        <v>22441</v>
      </c>
      <c r="V140" s="185">
        <f t="shared" si="45"/>
        <v>315891</v>
      </c>
      <c r="W140" s="185">
        <f t="shared" si="45"/>
        <v>29654</v>
      </c>
      <c r="X140" s="185">
        <f>SUM(X135:X139)</f>
        <v>642402</v>
      </c>
      <c r="Y140" s="185">
        <f>SUM(Y135:Y139)</f>
        <v>591758</v>
      </c>
      <c r="Z140" s="185">
        <f t="shared" si="45"/>
        <v>1230586</v>
      </c>
      <c r="AA140" s="185">
        <f t="shared" si="45"/>
        <v>880530</v>
      </c>
      <c r="AB140" s="185">
        <f t="shared" si="45"/>
        <v>500894</v>
      </c>
      <c r="AC140" s="185">
        <f t="shared" si="45"/>
        <v>516013</v>
      </c>
      <c r="AD140" s="185">
        <f>SUM(AD135:AD139)</f>
        <v>494909</v>
      </c>
      <c r="AE140" s="185">
        <f t="shared" si="45"/>
        <v>888039</v>
      </c>
      <c r="AF140" s="185">
        <f>SUM(AF135:AF139)</f>
        <v>290379</v>
      </c>
      <c r="AG140" s="185">
        <f t="shared" si="45"/>
        <v>110524</v>
      </c>
      <c r="AH140" s="185">
        <f aca="true" t="shared" si="46" ref="AH140:AQ140">SUM(AH135:AH139)</f>
        <v>87627</v>
      </c>
      <c r="AI140" s="185">
        <f t="shared" si="46"/>
        <v>300184</v>
      </c>
      <c r="AJ140" s="185">
        <f>SUM(AJ135:AJ139)</f>
        <v>132295</v>
      </c>
      <c r="AK140" s="185">
        <f t="shared" si="46"/>
        <v>57325</v>
      </c>
      <c r="AL140" s="185">
        <f t="shared" si="46"/>
        <v>142015</v>
      </c>
      <c r="AM140" s="185">
        <f t="shared" si="46"/>
        <v>73917</v>
      </c>
      <c r="AN140" s="185">
        <f t="shared" si="46"/>
        <v>52897</v>
      </c>
      <c r="AO140" s="185">
        <f t="shared" si="46"/>
        <v>44293</v>
      </c>
      <c r="AP140" s="185">
        <f t="shared" si="46"/>
        <v>57929</v>
      </c>
      <c r="AQ140" s="185">
        <f t="shared" si="46"/>
        <v>29851</v>
      </c>
      <c r="AR140" s="185">
        <f t="shared" si="45"/>
        <v>83015</v>
      </c>
      <c r="AS140" s="185">
        <f t="shared" si="45"/>
        <v>201415</v>
      </c>
      <c r="AT140" s="185"/>
      <c r="AU140" s="185">
        <f>SUM(AU135:AU139)</f>
        <v>51834497</v>
      </c>
      <c r="AV140" s="164"/>
      <c r="AW140" s="209">
        <f>SUM(AW135:AW139)</f>
        <v>21408391</v>
      </c>
      <c r="AX140" s="209">
        <f>SUM(AX135:AX139)</f>
        <v>30426106</v>
      </c>
    </row>
    <row r="141" spans="1:50" ht="11.25" customHeight="1">
      <c r="A141" s="164"/>
      <c r="B141" s="164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81"/>
      <c r="AC141" s="179"/>
      <c r="AD141" s="179"/>
      <c r="AE141" s="179"/>
      <c r="AF141" s="179"/>
      <c r="AG141" s="179"/>
      <c r="AH141" s="179"/>
      <c r="AI141" s="179"/>
      <c r="AJ141" s="179"/>
      <c r="AK141" s="181"/>
      <c r="AL141" s="179"/>
      <c r="AM141" s="179"/>
      <c r="AN141" s="179"/>
      <c r="AO141" s="179"/>
      <c r="AP141" s="179"/>
      <c r="AQ141" s="179"/>
      <c r="AR141" s="179"/>
      <c r="AS141" s="181"/>
      <c r="AT141" s="185"/>
      <c r="AU141" s="185"/>
      <c r="AV141" s="164"/>
      <c r="AW141" s="185"/>
      <c r="AX141" s="185"/>
    </row>
    <row r="142" spans="1:50" ht="11.25" customHeight="1">
      <c r="A142" s="176" t="s">
        <v>140</v>
      </c>
      <c r="B142" s="176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85"/>
      <c r="AV142" s="164"/>
      <c r="AW142" s="185"/>
      <c r="AX142" s="185"/>
    </row>
    <row r="143" spans="1:50" ht="11.25" customHeight="1">
      <c r="A143" s="176" t="s">
        <v>141</v>
      </c>
      <c r="B143" s="176"/>
      <c r="C143" s="185">
        <f>+C132-C140</f>
        <v>32221313</v>
      </c>
      <c r="D143" s="185">
        <f aca="true" t="shared" si="47" ref="D143:AS143">+D132-D140</f>
        <v>48071524</v>
      </c>
      <c r="E143" s="185">
        <f t="shared" si="47"/>
        <v>59007129</v>
      </c>
      <c r="F143" s="185">
        <f t="shared" si="47"/>
        <v>59151764</v>
      </c>
      <c r="G143" s="185">
        <f t="shared" si="47"/>
        <v>0</v>
      </c>
      <c r="H143" s="185">
        <f t="shared" si="47"/>
        <v>61858013</v>
      </c>
      <c r="I143" s="185">
        <f t="shared" si="47"/>
        <v>12932118</v>
      </c>
      <c r="J143" s="185">
        <f t="shared" si="47"/>
        <v>3034084</v>
      </c>
      <c r="K143" s="185">
        <f t="shared" si="47"/>
        <v>7091433</v>
      </c>
      <c r="L143" s="185">
        <f>+L132-L140</f>
        <v>49452957</v>
      </c>
      <c r="M143" s="185">
        <f t="shared" si="47"/>
        <v>39055952</v>
      </c>
      <c r="N143" s="185">
        <f t="shared" si="47"/>
        <v>12070069</v>
      </c>
      <c r="O143" s="185">
        <f t="shared" si="47"/>
        <v>5386677</v>
      </c>
      <c r="P143" s="185">
        <f t="shared" si="47"/>
        <v>24159134</v>
      </c>
      <c r="Q143" s="185">
        <f>+Q132-Q140</f>
        <v>31762212</v>
      </c>
      <c r="R143" s="185">
        <f t="shared" si="47"/>
        <v>20316448</v>
      </c>
      <c r="S143" s="185">
        <f t="shared" si="47"/>
        <v>7467929</v>
      </c>
      <c r="T143" s="185">
        <f t="shared" si="47"/>
        <v>18183172</v>
      </c>
      <c r="U143" s="185">
        <f>+U132-U140</f>
        <v>2627775</v>
      </c>
      <c r="V143" s="185">
        <f t="shared" si="47"/>
        <v>18999540</v>
      </c>
      <c r="W143" s="185">
        <f t="shared" si="47"/>
        <v>1783599</v>
      </c>
      <c r="X143" s="185">
        <f>+X132-X140</f>
        <v>11464806</v>
      </c>
      <c r="Y143" s="185">
        <f>+Y132-Y140</f>
        <v>2114469</v>
      </c>
      <c r="Z143" s="185">
        <f t="shared" si="47"/>
        <v>5193660</v>
      </c>
      <c r="AA143" s="185">
        <f t="shared" si="47"/>
        <v>7562585</v>
      </c>
      <c r="AB143" s="185">
        <f t="shared" si="47"/>
        <v>11640993</v>
      </c>
      <c r="AC143" s="185">
        <f t="shared" si="47"/>
        <v>3130428</v>
      </c>
      <c r="AD143" s="185">
        <f>+AD132-AD140</f>
        <v>5587879</v>
      </c>
      <c r="AE143" s="185">
        <f t="shared" si="47"/>
        <v>1035991</v>
      </c>
      <c r="AF143" s="185">
        <f>+AF132-AF140</f>
        <v>4832506</v>
      </c>
      <c r="AG143" s="185">
        <f t="shared" si="47"/>
        <v>1370014</v>
      </c>
      <c r="AH143" s="185">
        <f aca="true" t="shared" si="48" ref="AH143:AQ143">+AH132-AH140</f>
        <v>296328</v>
      </c>
      <c r="AI143" s="185">
        <f t="shared" si="48"/>
        <v>1701116</v>
      </c>
      <c r="AJ143" s="185">
        <f>+AJ132-AJ140</f>
        <v>368649</v>
      </c>
      <c r="AK143" s="185">
        <f t="shared" si="48"/>
        <v>412969</v>
      </c>
      <c r="AL143" s="185">
        <f t="shared" si="48"/>
        <v>529457</v>
      </c>
      <c r="AM143" s="185">
        <f t="shared" si="48"/>
        <v>75003</v>
      </c>
      <c r="AN143" s="185">
        <f t="shared" si="48"/>
        <v>129197</v>
      </c>
      <c r="AO143" s="185">
        <f t="shared" si="48"/>
        <v>35497</v>
      </c>
      <c r="AP143" s="185">
        <f t="shared" si="48"/>
        <v>260246</v>
      </c>
      <c r="AQ143" s="185">
        <f t="shared" si="48"/>
        <v>10576</v>
      </c>
      <c r="AR143" s="185">
        <f t="shared" si="47"/>
        <v>7923</v>
      </c>
      <c r="AS143" s="185">
        <f t="shared" si="47"/>
        <v>2743</v>
      </c>
      <c r="AT143" s="185"/>
      <c r="AU143" s="185">
        <f>+AU132-AU140</f>
        <v>572395877</v>
      </c>
      <c r="AV143" s="164"/>
      <c r="AW143" s="185">
        <f>+AW132-AW140</f>
        <v>94318769</v>
      </c>
      <c r="AX143" s="185">
        <f>+AX132-AX140</f>
        <v>478077108</v>
      </c>
    </row>
    <row r="144" spans="1:50" ht="11.25" customHeight="1">
      <c r="A144" s="176"/>
      <c r="B144" s="176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81"/>
      <c r="AC144" s="179"/>
      <c r="AD144" s="179"/>
      <c r="AE144" s="179"/>
      <c r="AF144" s="179"/>
      <c r="AG144" s="179"/>
      <c r="AH144" s="179"/>
      <c r="AI144" s="179"/>
      <c r="AJ144" s="179"/>
      <c r="AK144" s="181"/>
      <c r="AL144" s="179"/>
      <c r="AM144" s="179"/>
      <c r="AN144" s="179"/>
      <c r="AO144" s="179"/>
      <c r="AP144" s="179"/>
      <c r="AQ144" s="179"/>
      <c r="AR144" s="179"/>
      <c r="AS144" s="181"/>
      <c r="AT144" s="167"/>
      <c r="AU144" s="164"/>
      <c r="AV144" s="164"/>
      <c r="AW144" s="164"/>
      <c r="AX144" s="164"/>
    </row>
    <row r="145" spans="1:50" ht="11.25" customHeight="1" hidden="1" outlineLevel="1">
      <c r="A145" s="176" t="s">
        <v>142</v>
      </c>
      <c r="B145" s="176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5"/>
      <c r="AQ145" s="185"/>
      <c r="AR145" s="185"/>
      <c r="AS145" s="185"/>
      <c r="AT145" s="185"/>
      <c r="AU145" s="164"/>
      <c r="AV145" s="164"/>
      <c r="AW145" s="164"/>
      <c r="AX145" s="164"/>
    </row>
    <row r="146" spans="1:50" ht="11.25" customHeight="1" hidden="1" outlineLevel="1">
      <c r="A146" s="174" t="s">
        <v>143</v>
      </c>
      <c r="B146" s="174"/>
      <c r="C146" s="179">
        <v>7035349</v>
      </c>
      <c r="D146" s="179">
        <v>29837114</v>
      </c>
      <c r="E146" s="179">
        <v>31380006</v>
      </c>
      <c r="F146" s="179">
        <v>40264140</v>
      </c>
      <c r="G146" s="179">
        <v>0</v>
      </c>
      <c r="H146" s="179">
        <v>41098667</v>
      </c>
      <c r="I146" s="179">
        <v>8503034</v>
      </c>
      <c r="J146" s="179">
        <v>1475829</v>
      </c>
      <c r="K146" s="179">
        <v>3861835</v>
      </c>
      <c r="L146" s="179">
        <v>25361728</v>
      </c>
      <c r="M146" s="179">
        <v>28787303</v>
      </c>
      <c r="N146" s="179">
        <v>8023122</v>
      </c>
      <c r="O146" s="179">
        <v>890269</v>
      </c>
      <c r="P146" s="179">
        <v>18665962</v>
      </c>
      <c r="Q146" s="179">
        <v>3662978</v>
      </c>
      <c r="R146" s="179">
        <v>8204697</v>
      </c>
      <c r="S146" s="179">
        <v>5996786</v>
      </c>
      <c r="T146" s="179">
        <v>13448138</v>
      </c>
      <c r="U146" s="179">
        <v>2489351</v>
      </c>
      <c r="V146" s="179">
        <v>12281838</v>
      </c>
      <c r="W146" s="179">
        <v>1148864</v>
      </c>
      <c r="X146" s="179">
        <v>8497599</v>
      </c>
      <c r="Y146" s="179">
        <v>1318666</v>
      </c>
      <c r="Z146" s="179">
        <v>4101178</v>
      </c>
      <c r="AA146" s="179">
        <v>6628550</v>
      </c>
      <c r="AB146" s="181">
        <v>10442075</v>
      </c>
      <c r="AC146" s="179">
        <v>2371703</v>
      </c>
      <c r="AD146" s="179">
        <v>5219226</v>
      </c>
      <c r="AE146" s="179">
        <v>797068</v>
      </c>
      <c r="AF146" s="179">
        <v>1814169</v>
      </c>
      <c r="AG146" s="179">
        <v>989235</v>
      </c>
      <c r="AH146" s="179">
        <v>296332</v>
      </c>
      <c r="AI146" s="179">
        <v>721343</v>
      </c>
      <c r="AJ146" s="179">
        <v>184607</v>
      </c>
      <c r="AK146" s="181">
        <v>438036</v>
      </c>
      <c r="AL146" s="179">
        <v>489841</v>
      </c>
      <c r="AM146" s="179">
        <v>0</v>
      </c>
      <c r="AN146" s="179">
        <v>67406</v>
      </c>
      <c r="AO146" s="179">
        <v>0</v>
      </c>
      <c r="AP146" s="179">
        <v>133026</v>
      </c>
      <c r="AQ146" s="179">
        <v>10639</v>
      </c>
      <c r="AR146" s="179">
        <v>0</v>
      </c>
      <c r="AS146" s="181">
        <v>0</v>
      </c>
      <c r="AT146" s="185"/>
      <c r="AU146" s="164">
        <f aca="true" t="shared" si="49" ref="AU146:AU152">SUM(C146:AT146)</f>
        <v>336937709</v>
      </c>
      <c r="AV146" s="164"/>
      <c r="AW146" s="209">
        <f aca="true" t="shared" si="50" ref="AW146:AW152">SUMIF($C$163:$AS$163,"já",C146:AS146)</f>
        <v>42257405</v>
      </c>
      <c r="AX146" s="209">
        <f aca="true" t="shared" si="51" ref="AX146:AX152">SUMIF($C$163:$AS$163,"nei",C146:AS146)</f>
        <v>294680304</v>
      </c>
    </row>
    <row r="147" spans="1:50" ht="11.25" customHeight="1" hidden="1" outlineLevel="1">
      <c r="A147" s="174" t="s">
        <v>144</v>
      </c>
      <c r="B147" s="174"/>
      <c r="C147" s="179">
        <v>19613750</v>
      </c>
      <c r="D147" s="179">
        <v>5120152</v>
      </c>
      <c r="E147" s="179">
        <v>18203733</v>
      </c>
      <c r="F147" s="179">
        <v>9546264</v>
      </c>
      <c r="G147" s="179">
        <v>0</v>
      </c>
      <c r="H147" s="179">
        <v>16268243</v>
      </c>
      <c r="I147" s="179">
        <v>4392198</v>
      </c>
      <c r="J147" s="179">
        <v>1530177</v>
      </c>
      <c r="K147" s="179">
        <v>3217518</v>
      </c>
      <c r="L147" s="179">
        <v>24104988</v>
      </c>
      <c r="M147" s="179">
        <v>6052782</v>
      </c>
      <c r="N147" s="179">
        <v>4071590</v>
      </c>
      <c r="O147" s="179">
        <v>4078039</v>
      </c>
      <c r="P147" s="179">
        <v>5349784</v>
      </c>
      <c r="Q147" s="179">
        <v>28096354</v>
      </c>
      <c r="R147" s="179">
        <v>8261813</v>
      </c>
      <c r="S147" s="179">
        <v>276467</v>
      </c>
      <c r="T147" s="179">
        <v>3692499</v>
      </c>
      <c r="U147" s="179">
        <v>107648</v>
      </c>
      <c r="V147" s="179">
        <v>4453811</v>
      </c>
      <c r="W147" s="179">
        <v>418106</v>
      </c>
      <c r="X147" s="179">
        <v>2811284</v>
      </c>
      <c r="Y147" s="179">
        <v>745111</v>
      </c>
      <c r="Z147" s="179">
        <v>561093</v>
      </c>
      <c r="AA147" s="179">
        <v>919424</v>
      </c>
      <c r="AB147" s="181">
        <v>521916</v>
      </c>
      <c r="AC147" s="179">
        <v>542586</v>
      </c>
      <c r="AD147" s="179">
        <v>305757</v>
      </c>
      <c r="AE147" s="179">
        <v>227001</v>
      </c>
      <c r="AF147" s="179">
        <v>2943481</v>
      </c>
      <c r="AG147" s="179">
        <v>448526</v>
      </c>
      <c r="AH147" s="179">
        <v>0</v>
      </c>
      <c r="AI147" s="179">
        <v>1024623</v>
      </c>
      <c r="AJ147" s="179">
        <v>95825</v>
      </c>
      <c r="AK147" s="181">
        <v>15293</v>
      </c>
      <c r="AL147" s="179">
        <v>10069</v>
      </c>
      <c r="AM147" s="179">
        <v>177361</v>
      </c>
      <c r="AN147" s="179">
        <v>46068</v>
      </c>
      <c r="AO147" s="179">
        <v>40395</v>
      </c>
      <c r="AP147" s="179">
        <v>34716</v>
      </c>
      <c r="AQ147" s="179">
        <v>0</v>
      </c>
      <c r="AR147" s="179">
        <v>0</v>
      </c>
      <c r="AS147" s="181">
        <v>0</v>
      </c>
      <c r="AT147" s="185"/>
      <c r="AU147" s="164">
        <f t="shared" si="49"/>
        <v>178326445</v>
      </c>
      <c r="AV147" s="164"/>
      <c r="AW147" s="209">
        <f t="shared" si="50"/>
        <v>38174675</v>
      </c>
      <c r="AX147" s="209">
        <f t="shared" si="51"/>
        <v>140151770</v>
      </c>
    </row>
    <row r="148" spans="1:50" ht="11.25" customHeight="1" hidden="1" outlineLevel="1">
      <c r="A148" s="174" t="s">
        <v>145</v>
      </c>
      <c r="B148" s="174"/>
      <c r="C148" s="179">
        <v>4144473</v>
      </c>
      <c r="D148" s="179">
        <v>3914806</v>
      </c>
      <c r="E148" s="179">
        <v>5134239</v>
      </c>
      <c r="F148" s="179">
        <v>1866002</v>
      </c>
      <c r="G148" s="179">
        <v>0</v>
      </c>
      <c r="H148" s="179">
        <v>3544496</v>
      </c>
      <c r="I148" s="179">
        <v>0</v>
      </c>
      <c r="J148" s="179">
        <v>0</v>
      </c>
      <c r="K148" s="179">
        <v>0</v>
      </c>
      <c r="L148" s="179">
        <v>54789</v>
      </c>
      <c r="M148" s="179">
        <v>2749622</v>
      </c>
      <c r="N148" s="179">
        <v>0</v>
      </c>
      <c r="O148" s="179">
        <v>379942</v>
      </c>
      <c r="P148" s="179">
        <v>215660</v>
      </c>
      <c r="Q148" s="179">
        <v>0</v>
      </c>
      <c r="R148" s="179">
        <v>129703</v>
      </c>
      <c r="S148" s="179">
        <v>404755</v>
      </c>
      <c r="T148" s="179">
        <v>0</v>
      </c>
      <c r="U148" s="179">
        <v>0</v>
      </c>
      <c r="V148" s="179">
        <v>2271973</v>
      </c>
      <c r="W148" s="179">
        <v>213284</v>
      </c>
      <c r="X148" s="179">
        <v>97733</v>
      </c>
      <c r="Y148" s="179">
        <v>0</v>
      </c>
      <c r="Z148" s="179">
        <v>490565</v>
      </c>
      <c r="AA148" s="179">
        <v>6700</v>
      </c>
      <c r="AB148" s="181">
        <v>659310</v>
      </c>
      <c r="AC148" s="179">
        <v>35551</v>
      </c>
      <c r="AD148" s="179">
        <v>0</v>
      </c>
      <c r="AE148" s="179">
        <v>0</v>
      </c>
      <c r="AF148" s="179">
        <v>1600</v>
      </c>
      <c r="AG148" s="179">
        <v>0</v>
      </c>
      <c r="AH148" s="179">
        <v>0</v>
      </c>
      <c r="AI148" s="179">
        <v>0</v>
      </c>
      <c r="AJ148" s="179">
        <v>90468</v>
      </c>
      <c r="AK148" s="181">
        <v>0</v>
      </c>
      <c r="AL148" s="179">
        <v>0</v>
      </c>
      <c r="AM148" s="179">
        <v>0</v>
      </c>
      <c r="AN148" s="179">
        <v>0</v>
      </c>
      <c r="AO148" s="179">
        <v>0</v>
      </c>
      <c r="AP148" s="179">
        <v>84189</v>
      </c>
      <c r="AQ148" s="179">
        <v>0</v>
      </c>
      <c r="AR148" s="179">
        <v>0</v>
      </c>
      <c r="AS148" s="181">
        <v>0</v>
      </c>
      <c r="AT148" s="185"/>
      <c r="AU148" s="164">
        <f t="shared" si="49"/>
        <v>26489860</v>
      </c>
      <c r="AV148" s="164"/>
      <c r="AW148" s="209">
        <f t="shared" si="50"/>
        <v>4581628</v>
      </c>
      <c r="AX148" s="209">
        <f t="shared" si="51"/>
        <v>21908232</v>
      </c>
    </row>
    <row r="149" spans="1:50" ht="11.25" customHeight="1" hidden="1" outlineLevel="1">
      <c r="A149" s="174" t="s">
        <v>146</v>
      </c>
      <c r="B149" s="174"/>
      <c r="C149" s="179">
        <v>0</v>
      </c>
      <c r="D149" s="179">
        <v>0</v>
      </c>
      <c r="E149" s="179">
        <v>0</v>
      </c>
      <c r="F149" s="179">
        <v>0</v>
      </c>
      <c r="G149" s="179">
        <v>0</v>
      </c>
      <c r="H149" s="179">
        <v>0</v>
      </c>
      <c r="I149" s="179">
        <v>0</v>
      </c>
      <c r="J149" s="179">
        <v>0</v>
      </c>
      <c r="K149" s="179">
        <v>0</v>
      </c>
      <c r="L149" s="179">
        <v>242216</v>
      </c>
      <c r="M149" s="179">
        <v>81797</v>
      </c>
      <c r="N149" s="179">
        <v>0</v>
      </c>
      <c r="O149" s="179">
        <v>0</v>
      </c>
      <c r="P149" s="179">
        <v>19513</v>
      </c>
      <c r="Q149" s="179">
        <v>0</v>
      </c>
      <c r="R149" s="179">
        <v>3530000</v>
      </c>
      <c r="S149" s="179">
        <v>0</v>
      </c>
      <c r="T149" s="179">
        <v>997074</v>
      </c>
      <c r="U149" s="179">
        <v>0</v>
      </c>
      <c r="V149" s="179">
        <v>-151037</v>
      </c>
      <c r="W149" s="179">
        <v>-14179</v>
      </c>
      <c r="X149" s="179">
        <v>0</v>
      </c>
      <c r="Y149" s="179">
        <v>0</v>
      </c>
      <c r="Z149" s="179">
        <v>0</v>
      </c>
      <c r="AA149" s="179">
        <v>0</v>
      </c>
      <c r="AB149" s="181">
        <v>0</v>
      </c>
      <c r="AC149" s="179">
        <v>0</v>
      </c>
      <c r="AD149" s="179">
        <v>0</v>
      </c>
      <c r="AE149" s="179">
        <v>0</v>
      </c>
      <c r="AF149" s="179">
        <v>0</v>
      </c>
      <c r="AG149" s="179">
        <v>0</v>
      </c>
      <c r="AH149" s="179">
        <v>0</v>
      </c>
      <c r="AI149" s="179">
        <v>0</v>
      </c>
      <c r="AJ149" s="179">
        <v>0</v>
      </c>
      <c r="AK149" s="181">
        <v>0</v>
      </c>
      <c r="AL149" s="179">
        <v>0</v>
      </c>
      <c r="AM149" s="179">
        <v>0</v>
      </c>
      <c r="AN149" s="179">
        <v>10715</v>
      </c>
      <c r="AO149" s="179">
        <v>0</v>
      </c>
      <c r="AP149" s="179">
        <v>15052</v>
      </c>
      <c r="AQ149" s="179">
        <v>0</v>
      </c>
      <c r="AR149" s="179">
        <v>0</v>
      </c>
      <c r="AS149" s="181">
        <v>0</v>
      </c>
      <c r="AT149" s="185"/>
      <c r="AU149" s="164">
        <f t="shared" si="49"/>
        <v>4731151</v>
      </c>
      <c r="AV149" s="164"/>
      <c r="AW149" s="209">
        <f t="shared" si="50"/>
        <v>25767</v>
      </c>
      <c r="AX149" s="209">
        <f t="shared" si="51"/>
        <v>4705384</v>
      </c>
    </row>
    <row r="150" spans="1:50" ht="11.25" customHeight="1" hidden="1" outlineLevel="1">
      <c r="A150" s="174" t="s">
        <v>147</v>
      </c>
      <c r="B150" s="174"/>
      <c r="C150" s="179">
        <v>0</v>
      </c>
      <c r="D150" s="179">
        <v>0</v>
      </c>
      <c r="E150" s="179">
        <v>5129</v>
      </c>
      <c r="F150" s="179">
        <v>0</v>
      </c>
      <c r="G150" s="179">
        <v>0</v>
      </c>
      <c r="H150" s="179">
        <v>0</v>
      </c>
      <c r="I150" s="179">
        <v>0</v>
      </c>
      <c r="J150" s="179">
        <v>0</v>
      </c>
      <c r="K150" s="179">
        <v>0</v>
      </c>
      <c r="L150" s="179">
        <v>968</v>
      </c>
      <c r="M150" s="179">
        <v>14520</v>
      </c>
      <c r="N150" s="179">
        <v>0</v>
      </c>
      <c r="O150" s="179">
        <v>23370</v>
      </c>
      <c r="P150" s="179">
        <v>0</v>
      </c>
      <c r="Q150" s="179">
        <v>0</v>
      </c>
      <c r="R150" s="179">
        <v>0</v>
      </c>
      <c r="S150" s="179">
        <v>0</v>
      </c>
      <c r="T150" s="179">
        <v>1166</v>
      </c>
      <c r="U150" s="179">
        <v>0</v>
      </c>
      <c r="V150" s="179">
        <v>0</v>
      </c>
      <c r="W150" s="179">
        <v>0</v>
      </c>
      <c r="X150" s="179">
        <v>0</v>
      </c>
      <c r="Y150" s="179">
        <v>590</v>
      </c>
      <c r="Z150" s="179">
        <v>0</v>
      </c>
      <c r="AA150" s="179">
        <v>309</v>
      </c>
      <c r="AB150" s="181">
        <v>0</v>
      </c>
      <c r="AC150" s="179">
        <v>0</v>
      </c>
      <c r="AD150" s="179">
        <v>0</v>
      </c>
      <c r="AE150" s="179">
        <v>0</v>
      </c>
      <c r="AF150" s="179">
        <v>0</v>
      </c>
      <c r="AG150" s="179">
        <v>258</v>
      </c>
      <c r="AH150" s="179">
        <v>0</v>
      </c>
      <c r="AI150" s="179">
        <v>0</v>
      </c>
      <c r="AJ150" s="179">
        <v>0</v>
      </c>
      <c r="AK150" s="181">
        <v>0</v>
      </c>
      <c r="AL150" s="179">
        <v>0</v>
      </c>
      <c r="AM150" s="179">
        <v>0</v>
      </c>
      <c r="AN150" s="179">
        <v>0</v>
      </c>
      <c r="AO150" s="179">
        <v>0</v>
      </c>
      <c r="AP150" s="179">
        <v>0</v>
      </c>
      <c r="AQ150" s="179">
        <v>0</v>
      </c>
      <c r="AR150" s="179">
        <v>0</v>
      </c>
      <c r="AS150" s="181">
        <v>0</v>
      </c>
      <c r="AT150" s="185"/>
      <c r="AU150" s="164">
        <f t="shared" si="49"/>
        <v>46310</v>
      </c>
      <c r="AV150" s="164"/>
      <c r="AW150" s="209">
        <f t="shared" si="50"/>
        <v>0</v>
      </c>
      <c r="AX150" s="209">
        <f t="shared" si="51"/>
        <v>46310</v>
      </c>
    </row>
    <row r="151" spans="1:50" ht="11.25" customHeight="1" hidden="1" outlineLevel="1">
      <c r="A151" s="174" t="s">
        <v>148</v>
      </c>
      <c r="B151" s="174"/>
      <c r="C151" s="179">
        <v>2141</v>
      </c>
      <c r="D151" s="179">
        <v>2141</v>
      </c>
      <c r="E151" s="179">
        <v>0</v>
      </c>
      <c r="F151" s="179">
        <v>0</v>
      </c>
      <c r="G151" s="179">
        <v>0</v>
      </c>
      <c r="H151" s="179">
        <v>0</v>
      </c>
      <c r="I151" s="179">
        <v>0</v>
      </c>
      <c r="J151" s="179">
        <v>0</v>
      </c>
      <c r="K151" s="179">
        <v>0</v>
      </c>
      <c r="L151" s="179">
        <v>0</v>
      </c>
      <c r="M151" s="179">
        <v>0</v>
      </c>
      <c r="N151" s="179">
        <v>0</v>
      </c>
      <c r="O151" s="179">
        <v>0</v>
      </c>
      <c r="P151" s="179">
        <v>0</v>
      </c>
      <c r="Q151" s="179">
        <v>0</v>
      </c>
      <c r="R151" s="179">
        <v>0</v>
      </c>
      <c r="S151" s="179">
        <v>0</v>
      </c>
      <c r="T151" s="179">
        <v>0</v>
      </c>
      <c r="U151" s="179">
        <v>0</v>
      </c>
      <c r="V151" s="179">
        <v>0</v>
      </c>
      <c r="W151" s="179">
        <v>0</v>
      </c>
      <c r="X151" s="179">
        <v>0</v>
      </c>
      <c r="Y151" s="179">
        <v>0</v>
      </c>
      <c r="Z151" s="179">
        <v>475</v>
      </c>
      <c r="AA151" s="179">
        <v>0</v>
      </c>
      <c r="AB151" s="181">
        <v>0</v>
      </c>
      <c r="AC151" s="179">
        <v>0</v>
      </c>
      <c r="AD151" s="179">
        <v>0</v>
      </c>
      <c r="AE151" s="179">
        <v>0</v>
      </c>
      <c r="AF151" s="179">
        <v>0</v>
      </c>
      <c r="AG151" s="179">
        <v>0</v>
      </c>
      <c r="AH151" s="179">
        <v>0</v>
      </c>
      <c r="AI151" s="179">
        <v>0</v>
      </c>
      <c r="AJ151" s="179">
        <v>0</v>
      </c>
      <c r="AK151" s="181">
        <v>0</v>
      </c>
      <c r="AL151" s="179">
        <v>0</v>
      </c>
      <c r="AM151" s="179">
        <v>0</v>
      </c>
      <c r="AN151" s="179">
        <v>0</v>
      </c>
      <c r="AO151" s="179">
        <v>0</v>
      </c>
      <c r="AP151" s="179">
        <v>0</v>
      </c>
      <c r="AQ151" s="179">
        <v>0</v>
      </c>
      <c r="AR151" s="179">
        <v>0</v>
      </c>
      <c r="AS151" s="181">
        <v>0</v>
      </c>
      <c r="AT151" s="185"/>
      <c r="AU151" s="164">
        <f t="shared" si="49"/>
        <v>4757</v>
      </c>
      <c r="AV151" s="164"/>
      <c r="AW151" s="209">
        <f t="shared" si="50"/>
        <v>2616</v>
      </c>
      <c r="AX151" s="209">
        <f t="shared" si="51"/>
        <v>2141</v>
      </c>
    </row>
    <row r="152" spans="1:50" ht="11.25" customHeight="1" hidden="1" outlineLevel="1">
      <c r="A152" s="174" t="s">
        <v>149</v>
      </c>
      <c r="B152" s="174"/>
      <c r="C152" s="179">
        <v>0</v>
      </c>
      <c r="D152" s="179">
        <v>0</v>
      </c>
      <c r="E152" s="179">
        <v>0</v>
      </c>
      <c r="F152" s="179">
        <v>0</v>
      </c>
      <c r="G152" s="179">
        <v>0</v>
      </c>
      <c r="H152" s="179">
        <v>0</v>
      </c>
      <c r="I152" s="179">
        <v>0</v>
      </c>
      <c r="J152" s="179">
        <v>0</v>
      </c>
      <c r="K152" s="179">
        <v>0</v>
      </c>
      <c r="L152" s="179">
        <v>0</v>
      </c>
      <c r="M152" s="179">
        <v>0</v>
      </c>
      <c r="N152" s="179">
        <v>0</v>
      </c>
      <c r="O152" s="179">
        <v>0</v>
      </c>
      <c r="P152" s="179">
        <v>0</v>
      </c>
      <c r="Q152" s="179">
        <v>0</v>
      </c>
      <c r="R152" s="179">
        <v>0</v>
      </c>
      <c r="S152" s="179">
        <v>0</v>
      </c>
      <c r="T152" s="179">
        <v>0</v>
      </c>
      <c r="U152" s="179">
        <v>26428</v>
      </c>
      <c r="V152" s="179">
        <v>0</v>
      </c>
      <c r="W152" s="179">
        <v>0</v>
      </c>
      <c r="X152" s="179">
        <v>0</v>
      </c>
      <c r="Y152" s="179">
        <v>0</v>
      </c>
      <c r="Z152" s="179">
        <v>0</v>
      </c>
      <c r="AA152" s="179">
        <v>0</v>
      </c>
      <c r="AB152" s="181">
        <v>0</v>
      </c>
      <c r="AC152" s="179">
        <v>0</v>
      </c>
      <c r="AD152" s="179">
        <v>0</v>
      </c>
      <c r="AE152" s="179">
        <v>0</v>
      </c>
      <c r="AF152" s="179">
        <v>0</v>
      </c>
      <c r="AG152" s="179">
        <v>0</v>
      </c>
      <c r="AH152" s="179">
        <v>0</v>
      </c>
      <c r="AI152" s="179">
        <v>0</v>
      </c>
      <c r="AJ152" s="179">
        <v>0</v>
      </c>
      <c r="AK152" s="181">
        <v>0</v>
      </c>
      <c r="AL152" s="179">
        <v>0</v>
      </c>
      <c r="AM152" s="179">
        <v>0</v>
      </c>
      <c r="AN152" s="179">
        <v>0</v>
      </c>
      <c r="AO152" s="179">
        <v>0</v>
      </c>
      <c r="AP152" s="179">
        <v>0</v>
      </c>
      <c r="AQ152" s="179">
        <v>0</v>
      </c>
      <c r="AR152" s="179">
        <v>0</v>
      </c>
      <c r="AS152" s="181">
        <v>0</v>
      </c>
      <c r="AT152" s="185"/>
      <c r="AU152" s="164">
        <f t="shared" si="49"/>
        <v>26428</v>
      </c>
      <c r="AV152" s="164"/>
      <c r="AW152" s="209">
        <f t="shared" si="50"/>
        <v>0</v>
      </c>
      <c r="AX152" s="209">
        <f t="shared" si="51"/>
        <v>26428</v>
      </c>
    </row>
    <row r="153" spans="1:50" ht="11.25" customHeight="1" collapsed="1">
      <c r="A153" s="176" t="s">
        <v>150</v>
      </c>
      <c r="B153" s="176"/>
      <c r="C153" s="185">
        <f>SUM(C146:C152)</f>
        <v>30795713</v>
      </c>
      <c r="D153" s="185">
        <f aca="true" t="shared" si="52" ref="D153:AS153">SUM(D146:D152)</f>
        <v>38874213</v>
      </c>
      <c r="E153" s="185">
        <f t="shared" si="52"/>
        <v>54723107</v>
      </c>
      <c r="F153" s="185">
        <f t="shared" si="52"/>
        <v>51676406</v>
      </c>
      <c r="G153" s="185">
        <f t="shared" si="52"/>
        <v>0</v>
      </c>
      <c r="H153" s="185">
        <f t="shared" si="52"/>
        <v>60911406</v>
      </c>
      <c r="I153" s="185">
        <f t="shared" si="52"/>
        <v>12895232</v>
      </c>
      <c r="J153" s="185">
        <f t="shared" si="52"/>
        <v>3006006</v>
      </c>
      <c r="K153" s="185">
        <f t="shared" si="52"/>
        <v>7079353</v>
      </c>
      <c r="L153" s="185">
        <f>SUM(L146:L152)</f>
        <v>49764689</v>
      </c>
      <c r="M153" s="185">
        <f t="shared" si="52"/>
        <v>37686024</v>
      </c>
      <c r="N153" s="185">
        <f t="shared" si="52"/>
        <v>12094712</v>
      </c>
      <c r="O153" s="185">
        <f t="shared" si="52"/>
        <v>5371620</v>
      </c>
      <c r="P153" s="185">
        <f t="shared" si="52"/>
        <v>24250919</v>
      </c>
      <c r="Q153" s="185">
        <f>SUM(Q146:Q152)</f>
        <v>31759332</v>
      </c>
      <c r="R153" s="185">
        <f t="shared" si="52"/>
        <v>20126213</v>
      </c>
      <c r="S153" s="185">
        <f t="shared" si="52"/>
        <v>6678008</v>
      </c>
      <c r="T153" s="185">
        <f t="shared" si="52"/>
        <v>18138877</v>
      </c>
      <c r="U153" s="185">
        <f>SUM(U146:U152)</f>
        <v>2623427</v>
      </c>
      <c r="V153" s="185">
        <f t="shared" si="52"/>
        <v>18856585</v>
      </c>
      <c r="W153" s="185">
        <f t="shared" si="52"/>
        <v>1766075</v>
      </c>
      <c r="X153" s="185">
        <f>SUM(X146:X152)</f>
        <v>11406616</v>
      </c>
      <c r="Y153" s="185">
        <f>SUM(Y146:Y152)</f>
        <v>2064367</v>
      </c>
      <c r="Z153" s="185">
        <f t="shared" si="52"/>
        <v>5153311</v>
      </c>
      <c r="AA153" s="185">
        <f t="shared" si="52"/>
        <v>7554983</v>
      </c>
      <c r="AB153" s="185">
        <f t="shared" si="52"/>
        <v>11623301</v>
      </c>
      <c r="AC153" s="185">
        <f t="shared" si="52"/>
        <v>2949840</v>
      </c>
      <c r="AD153" s="185">
        <f>SUM(AD146:AD152)</f>
        <v>5524983</v>
      </c>
      <c r="AE153" s="185">
        <f t="shared" si="52"/>
        <v>1024069</v>
      </c>
      <c r="AF153" s="185">
        <f>SUM(AF146:AF152)</f>
        <v>4759250</v>
      </c>
      <c r="AG153" s="185">
        <f t="shared" si="52"/>
        <v>1438019</v>
      </c>
      <c r="AH153" s="185">
        <f aca="true" t="shared" si="53" ref="AH153:AQ153">SUM(AH146:AH152)</f>
        <v>296332</v>
      </c>
      <c r="AI153" s="185">
        <f t="shared" si="53"/>
        <v>1745966</v>
      </c>
      <c r="AJ153" s="185">
        <f>SUM(AJ146:AJ152)</f>
        <v>370900</v>
      </c>
      <c r="AK153" s="185">
        <f t="shared" si="53"/>
        <v>453329</v>
      </c>
      <c r="AL153" s="185">
        <f t="shared" si="53"/>
        <v>499910</v>
      </c>
      <c r="AM153" s="185">
        <f t="shared" si="53"/>
        <v>177361</v>
      </c>
      <c r="AN153" s="185">
        <f t="shared" si="53"/>
        <v>124189</v>
      </c>
      <c r="AO153" s="185">
        <f t="shared" si="53"/>
        <v>40395</v>
      </c>
      <c r="AP153" s="185">
        <f t="shared" si="53"/>
        <v>266983</v>
      </c>
      <c r="AQ153" s="185">
        <f t="shared" si="53"/>
        <v>10639</v>
      </c>
      <c r="AR153" s="185">
        <f t="shared" si="52"/>
        <v>0</v>
      </c>
      <c r="AS153" s="185">
        <f t="shared" si="52"/>
        <v>0</v>
      </c>
      <c r="AT153" s="185"/>
      <c r="AU153" s="185">
        <f>SUM(AU146:AU152)</f>
        <v>546562660</v>
      </c>
      <c r="AV153" s="185"/>
      <c r="AW153" s="185">
        <f>SUM(AW146:AW152)</f>
        <v>85042091</v>
      </c>
      <c r="AX153" s="185">
        <f>SUM(AX146:AX152)</f>
        <v>461520569</v>
      </c>
    </row>
    <row r="154" spans="1:50" ht="11.25" customHeight="1">
      <c r="A154" s="174"/>
      <c r="B154" s="174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85"/>
      <c r="AU154" s="185"/>
      <c r="AV154" s="164"/>
      <c r="AW154" s="185"/>
      <c r="AX154" s="185"/>
    </row>
    <row r="155" spans="1:50" ht="11.25" customHeight="1">
      <c r="A155" s="176" t="s">
        <v>151</v>
      </c>
      <c r="B155" s="176"/>
      <c r="C155" s="185">
        <f>+C143-C153</f>
        <v>1425600</v>
      </c>
      <c r="D155" s="185">
        <f aca="true" t="shared" si="54" ref="D155:AS155">+D143-D153</f>
        <v>9197311</v>
      </c>
      <c r="E155" s="185">
        <f t="shared" si="54"/>
        <v>4284022</v>
      </c>
      <c r="F155" s="185">
        <f t="shared" si="54"/>
        <v>7475358</v>
      </c>
      <c r="G155" s="185">
        <f t="shared" si="54"/>
        <v>0</v>
      </c>
      <c r="H155" s="185">
        <f t="shared" si="54"/>
        <v>946607</v>
      </c>
      <c r="I155" s="185">
        <f t="shared" si="54"/>
        <v>36886</v>
      </c>
      <c r="J155" s="185">
        <f t="shared" si="54"/>
        <v>28078</v>
      </c>
      <c r="K155" s="185">
        <f t="shared" si="54"/>
        <v>12080</v>
      </c>
      <c r="L155" s="185">
        <f>+L143-L153</f>
        <v>-311732</v>
      </c>
      <c r="M155" s="185">
        <f t="shared" si="54"/>
        <v>1369928</v>
      </c>
      <c r="N155" s="185">
        <f t="shared" si="54"/>
        <v>-24643</v>
      </c>
      <c r="O155" s="185">
        <f t="shared" si="54"/>
        <v>15057</v>
      </c>
      <c r="P155" s="185">
        <f t="shared" si="54"/>
        <v>-91785</v>
      </c>
      <c r="Q155" s="185">
        <f>+Q143-Q153</f>
        <v>2880</v>
      </c>
      <c r="R155" s="185">
        <f t="shared" si="54"/>
        <v>190235</v>
      </c>
      <c r="S155" s="185">
        <f t="shared" si="54"/>
        <v>789921</v>
      </c>
      <c r="T155" s="185">
        <f t="shared" si="54"/>
        <v>44295</v>
      </c>
      <c r="U155" s="185">
        <f>+U143-U153</f>
        <v>4348</v>
      </c>
      <c r="V155" s="185">
        <f t="shared" si="54"/>
        <v>142955</v>
      </c>
      <c r="W155" s="185">
        <f t="shared" si="54"/>
        <v>17524</v>
      </c>
      <c r="X155" s="185">
        <f>+X143-X153</f>
        <v>58190</v>
      </c>
      <c r="Y155" s="185">
        <f>+Y143-Y153</f>
        <v>50102</v>
      </c>
      <c r="Z155" s="185">
        <f t="shared" si="54"/>
        <v>40349</v>
      </c>
      <c r="AA155" s="185">
        <f t="shared" si="54"/>
        <v>7602</v>
      </c>
      <c r="AB155" s="185">
        <f t="shared" si="54"/>
        <v>17692</v>
      </c>
      <c r="AC155" s="185">
        <f t="shared" si="54"/>
        <v>180588</v>
      </c>
      <c r="AD155" s="185">
        <f>+AD143-AD153</f>
        <v>62896</v>
      </c>
      <c r="AE155" s="185">
        <f t="shared" si="54"/>
        <v>11922</v>
      </c>
      <c r="AF155" s="185">
        <f>+AF143-AF153</f>
        <v>73256</v>
      </c>
      <c r="AG155" s="185">
        <f t="shared" si="54"/>
        <v>-68005</v>
      </c>
      <c r="AH155" s="185">
        <f aca="true" t="shared" si="55" ref="AH155:AQ155">+AH143-AH153</f>
        <v>-4</v>
      </c>
      <c r="AI155" s="185">
        <f t="shared" si="55"/>
        <v>-44850</v>
      </c>
      <c r="AJ155" s="185">
        <f>+AJ143-AJ153</f>
        <v>-2251</v>
      </c>
      <c r="AK155" s="185">
        <f t="shared" si="55"/>
        <v>-40360</v>
      </c>
      <c r="AL155" s="185">
        <f t="shared" si="55"/>
        <v>29547</v>
      </c>
      <c r="AM155" s="185">
        <f t="shared" si="55"/>
        <v>-102358</v>
      </c>
      <c r="AN155" s="185">
        <f t="shared" si="55"/>
        <v>5008</v>
      </c>
      <c r="AO155" s="185">
        <f t="shared" si="55"/>
        <v>-4898</v>
      </c>
      <c r="AP155" s="185">
        <f t="shared" si="55"/>
        <v>-6737</v>
      </c>
      <c r="AQ155" s="185">
        <f t="shared" si="55"/>
        <v>-63</v>
      </c>
      <c r="AR155" s="185">
        <f t="shared" si="54"/>
        <v>7923</v>
      </c>
      <c r="AS155" s="185">
        <f t="shared" si="54"/>
        <v>2743</v>
      </c>
      <c r="AT155" s="167"/>
      <c r="AU155" s="185">
        <f>+AU143-AU153</f>
        <v>25833217</v>
      </c>
      <c r="AV155" s="164"/>
      <c r="AW155" s="185">
        <f>+AW143-AW153</f>
        <v>9276678</v>
      </c>
      <c r="AX155" s="185">
        <f>+AX143-AX153</f>
        <v>16556539</v>
      </c>
    </row>
    <row r="156" spans="1:50" ht="11.25" customHeight="1">
      <c r="A156" s="176"/>
      <c r="B156" s="176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81"/>
      <c r="AC156" s="179"/>
      <c r="AD156" s="179"/>
      <c r="AE156" s="179"/>
      <c r="AF156" s="179"/>
      <c r="AG156" s="179"/>
      <c r="AH156" s="179"/>
      <c r="AI156" s="179"/>
      <c r="AJ156" s="179"/>
      <c r="AK156" s="181"/>
      <c r="AL156" s="179"/>
      <c r="AM156" s="179"/>
      <c r="AN156" s="179"/>
      <c r="AO156" s="179"/>
      <c r="AP156" s="179"/>
      <c r="AQ156" s="179"/>
      <c r="AR156" s="179"/>
      <c r="AS156" s="181"/>
      <c r="AT156" s="164"/>
      <c r="AU156" s="164"/>
      <c r="AV156" s="164"/>
      <c r="AW156" s="164"/>
      <c r="AX156" s="164"/>
    </row>
    <row r="157" spans="1:50" ht="11.25" customHeight="1">
      <c r="A157" s="176" t="s">
        <v>152</v>
      </c>
      <c r="B157" s="176"/>
      <c r="C157" s="179">
        <v>1138434</v>
      </c>
      <c r="D157" s="179">
        <v>1567</v>
      </c>
      <c r="E157" s="179">
        <v>1529266</v>
      </c>
      <c r="F157" s="179">
        <v>987739</v>
      </c>
      <c r="G157" s="179">
        <v>0</v>
      </c>
      <c r="H157" s="179">
        <v>338605</v>
      </c>
      <c r="I157" s="179">
        <v>172980</v>
      </c>
      <c r="J157" s="179">
        <v>4755</v>
      </c>
      <c r="K157" s="179">
        <v>68260</v>
      </c>
      <c r="L157" s="179">
        <v>655154</v>
      </c>
      <c r="M157" s="179">
        <v>686302</v>
      </c>
      <c r="N157" s="179">
        <v>468438</v>
      </c>
      <c r="O157" s="179">
        <v>381914</v>
      </c>
      <c r="P157" s="179">
        <v>173546</v>
      </c>
      <c r="Q157" s="179">
        <v>192909</v>
      </c>
      <c r="R157" s="179">
        <v>121722</v>
      </c>
      <c r="S157" s="179">
        <v>129753</v>
      </c>
      <c r="T157" s="179">
        <v>81156</v>
      </c>
      <c r="U157" s="179">
        <v>1584</v>
      </c>
      <c r="V157" s="179">
        <v>169750</v>
      </c>
      <c r="W157" s="179">
        <v>15935</v>
      </c>
      <c r="X157" s="179">
        <v>55767</v>
      </c>
      <c r="Y157" s="179">
        <v>80418</v>
      </c>
      <c r="Z157" s="179">
        <v>0</v>
      </c>
      <c r="AA157" s="179">
        <v>30000</v>
      </c>
      <c r="AB157" s="181">
        <v>15927</v>
      </c>
      <c r="AC157" s="179">
        <v>32968</v>
      </c>
      <c r="AD157" s="179">
        <v>9036</v>
      </c>
      <c r="AE157" s="179">
        <v>21049</v>
      </c>
      <c r="AF157" s="179">
        <v>1072</v>
      </c>
      <c r="AG157" s="179">
        <v>423392</v>
      </c>
      <c r="AH157" s="179">
        <v>115</v>
      </c>
      <c r="AI157" s="179">
        <v>72125</v>
      </c>
      <c r="AJ157" s="179">
        <v>15279</v>
      </c>
      <c r="AK157" s="181">
        <v>70542</v>
      </c>
      <c r="AL157" s="179">
        <v>2622</v>
      </c>
      <c r="AM157" s="179">
        <v>102371</v>
      </c>
      <c r="AN157" s="179">
        <v>14385</v>
      </c>
      <c r="AO157" s="179">
        <v>48761</v>
      </c>
      <c r="AP157" s="179">
        <v>11697</v>
      </c>
      <c r="AQ157" s="179">
        <v>151</v>
      </c>
      <c r="AR157" s="179">
        <v>61880</v>
      </c>
      <c r="AS157" s="181">
        <v>13944</v>
      </c>
      <c r="AT157" s="167"/>
      <c r="AU157" s="164">
        <f>SUM(C157:AT157)</f>
        <v>8403270</v>
      </c>
      <c r="AV157" s="164"/>
      <c r="AW157" s="209">
        <f>SUMIF($C$163:$AS$163,"já",C157:AS157)</f>
        <v>479222</v>
      </c>
      <c r="AX157" s="209">
        <f>SUMIF($C$163:$AS$163,"nei",C157:AS157)</f>
        <v>7924048</v>
      </c>
    </row>
    <row r="158" spans="1:50" ht="11.25" customHeight="1">
      <c r="A158" s="192"/>
      <c r="B158" s="192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81"/>
      <c r="AC158" s="179"/>
      <c r="AD158" s="179"/>
      <c r="AE158" s="179"/>
      <c r="AF158" s="179"/>
      <c r="AG158" s="179"/>
      <c r="AH158" s="179"/>
      <c r="AI158" s="179"/>
      <c r="AJ158" s="179"/>
      <c r="AK158" s="181"/>
      <c r="AL158" s="179"/>
      <c r="AM158" s="179"/>
      <c r="AN158" s="179"/>
      <c r="AO158" s="179"/>
      <c r="AP158" s="179"/>
      <c r="AQ158" s="179"/>
      <c r="AR158" s="179"/>
      <c r="AS158" s="181"/>
      <c r="AT158" s="179"/>
      <c r="AU158" s="194"/>
      <c r="AV158" s="194"/>
      <c r="AW158" s="194"/>
      <c r="AX158" s="194"/>
    </row>
    <row r="159" spans="1:50" s="22" customFormat="1" ht="10.5" customHeight="1">
      <c r="A159" s="193" t="s">
        <v>153</v>
      </c>
      <c r="B159" s="193"/>
      <c r="C159" s="219">
        <f>+C155+C157</f>
        <v>2564034</v>
      </c>
      <c r="D159" s="219">
        <f aca="true" t="shared" si="56" ref="D159:AS159">+D155+D157</f>
        <v>9198878</v>
      </c>
      <c r="E159" s="219">
        <f t="shared" si="56"/>
        <v>5813288</v>
      </c>
      <c r="F159" s="219">
        <f t="shared" si="56"/>
        <v>8463097</v>
      </c>
      <c r="G159" s="219">
        <f t="shared" si="56"/>
        <v>0</v>
      </c>
      <c r="H159" s="219">
        <f t="shared" si="56"/>
        <v>1285212</v>
      </c>
      <c r="I159" s="219">
        <f t="shared" si="56"/>
        <v>209866</v>
      </c>
      <c r="J159" s="219">
        <f t="shared" si="56"/>
        <v>32833</v>
      </c>
      <c r="K159" s="219">
        <f t="shared" si="56"/>
        <v>80340</v>
      </c>
      <c r="L159" s="219">
        <f>+L155+L157</f>
        <v>343422</v>
      </c>
      <c r="M159" s="219">
        <f t="shared" si="56"/>
        <v>2056230</v>
      </c>
      <c r="N159" s="219">
        <f t="shared" si="56"/>
        <v>443795</v>
      </c>
      <c r="O159" s="219">
        <f t="shared" si="56"/>
        <v>396971</v>
      </c>
      <c r="P159" s="219">
        <f t="shared" si="56"/>
        <v>81761</v>
      </c>
      <c r="Q159" s="219">
        <f>+Q155+Q157</f>
        <v>195789</v>
      </c>
      <c r="R159" s="219">
        <f t="shared" si="56"/>
        <v>311957</v>
      </c>
      <c r="S159" s="219">
        <f t="shared" si="56"/>
        <v>919674</v>
      </c>
      <c r="T159" s="219">
        <f t="shared" si="56"/>
        <v>125451</v>
      </c>
      <c r="U159" s="219">
        <f>+U155+U157</f>
        <v>5932</v>
      </c>
      <c r="V159" s="219">
        <f t="shared" si="56"/>
        <v>312705</v>
      </c>
      <c r="W159" s="219">
        <f t="shared" si="56"/>
        <v>33459</v>
      </c>
      <c r="X159" s="219">
        <f>+X155+X157</f>
        <v>113957</v>
      </c>
      <c r="Y159" s="219">
        <f>+Y155+Y157</f>
        <v>130520</v>
      </c>
      <c r="Z159" s="219">
        <f t="shared" si="56"/>
        <v>40349</v>
      </c>
      <c r="AA159" s="219">
        <f t="shared" si="56"/>
        <v>37602</v>
      </c>
      <c r="AB159" s="219">
        <f t="shared" si="56"/>
        <v>33619</v>
      </c>
      <c r="AC159" s="219">
        <f t="shared" si="56"/>
        <v>213556</v>
      </c>
      <c r="AD159" s="219">
        <f>+AD155+AD157</f>
        <v>71932</v>
      </c>
      <c r="AE159" s="219">
        <f t="shared" si="56"/>
        <v>32971</v>
      </c>
      <c r="AF159" s="219">
        <f>+AF155+AF157</f>
        <v>74328</v>
      </c>
      <c r="AG159" s="219">
        <f t="shared" si="56"/>
        <v>355387</v>
      </c>
      <c r="AH159" s="219">
        <f aca="true" t="shared" si="57" ref="AH159:AQ159">+AH155+AH157</f>
        <v>111</v>
      </c>
      <c r="AI159" s="219">
        <f t="shared" si="57"/>
        <v>27275</v>
      </c>
      <c r="AJ159" s="219">
        <f>+AJ155+AJ157</f>
        <v>13028</v>
      </c>
      <c r="AK159" s="219">
        <f t="shared" si="57"/>
        <v>30182</v>
      </c>
      <c r="AL159" s="219">
        <f t="shared" si="57"/>
        <v>32169</v>
      </c>
      <c r="AM159" s="219">
        <f t="shared" si="57"/>
        <v>13</v>
      </c>
      <c r="AN159" s="219">
        <f t="shared" si="57"/>
        <v>19393</v>
      </c>
      <c r="AO159" s="219">
        <f t="shared" si="57"/>
        <v>43863</v>
      </c>
      <c r="AP159" s="219">
        <f t="shared" si="57"/>
        <v>4960</v>
      </c>
      <c r="AQ159" s="219">
        <f t="shared" si="57"/>
        <v>88</v>
      </c>
      <c r="AR159" s="219">
        <f t="shared" si="56"/>
        <v>69803</v>
      </c>
      <c r="AS159" s="219">
        <f t="shared" si="56"/>
        <v>16687</v>
      </c>
      <c r="AT159" s="219"/>
      <c r="AU159" s="219">
        <f>+AU155+AU157</f>
        <v>34236487</v>
      </c>
      <c r="AV159" s="219"/>
      <c r="AW159" s="219">
        <f>+AW155+AW157</f>
        <v>9755900</v>
      </c>
      <c r="AX159" s="219">
        <f>+AX155+AX157</f>
        <v>24480587</v>
      </c>
    </row>
    <row r="160" spans="1:50" ht="12.75" customHeight="1">
      <c r="A160" s="178" t="s">
        <v>154</v>
      </c>
      <c r="B160" s="178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164"/>
      <c r="AU160" s="164"/>
      <c r="AV160" s="178"/>
      <c r="AW160" s="170"/>
      <c r="AX160" s="170"/>
    </row>
    <row r="161" spans="1:50" ht="11.25" customHeight="1">
      <c r="A161" s="178" t="s">
        <v>155</v>
      </c>
      <c r="B161" s="178"/>
      <c r="C161" s="185">
        <f>+C64-C119</f>
        <v>0</v>
      </c>
      <c r="D161" s="185">
        <f aca="true" t="shared" si="58" ref="D161:AS161">+D64-D119</f>
        <v>0</v>
      </c>
      <c r="E161" s="185">
        <f t="shared" si="58"/>
        <v>0</v>
      </c>
      <c r="F161" s="185">
        <f t="shared" si="58"/>
        <v>0</v>
      </c>
      <c r="G161" s="185">
        <f t="shared" si="58"/>
        <v>0</v>
      </c>
      <c r="H161" s="185">
        <f t="shared" si="58"/>
        <v>0</v>
      </c>
      <c r="I161" s="185">
        <f t="shared" si="58"/>
        <v>0</v>
      </c>
      <c r="J161" s="185">
        <f t="shared" si="58"/>
        <v>0</v>
      </c>
      <c r="K161" s="185">
        <f t="shared" si="58"/>
        <v>1</v>
      </c>
      <c r="L161" s="185">
        <f>+L64-L119</f>
        <v>0</v>
      </c>
      <c r="M161" s="185">
        <f t="shared" si="58"/>
        <v>-1</v>
      </c>
      <c r="N161" s="185">
        <f t="shared" si="58"/>
        <v>0</v>
      </c>
      <c r="O161" s="185">
        <f t="shared" si="58"/>
        <v>0</v>
      </c>
      <c r="P161" s="185">
        <f t="shared" si="58"/>
        <v>-1</v>
      </c>
      <c r="Q161" s="185">
        <f>+Q64-Q119</f>
        <v>-1</v>
      </c>
      <c r="R161" s="185">
        <f t="shared" si="58"/>
        <v>-1</v>
      </c>
      <c r="S161" s="185">
        <f t="shared" si="58"/>
        <v>0</v>
      </c>
      <c r="T161" s="185">
        <f t="shared" si="58"/>
        <v>0</v>
      </c>
      <c r="U161" s="185">
        <f>+U64-U119</f>
        <v>1</v>
      </c>
      <c r="V161" s="185">
        <f t="shared" si="58"/>
        <v>0</v>
      </c>
      <c r="W161" s="185">
        <f t="shared" si="58"/>
        <v>-1</v>
      </c>
      <c r="X161" s="185">
        <f>+X64-X119</f>
        <v>0</v>
      </c>
      <c r="Y161" s="185">
        <f>+Y64-Y119</f>
        <v>-2</v>
      </c>
      <c r="Z161" s="185">
        <f t="shared" si="58"/>
        <v>0</v>
      </c>
      <c r="AA161" s="185">
        <f t="shared" si="58"/>
        <v>0</v>
      </c>
      <c r="AB161" s="185">
        <f t="shared" si="58"/>
        <v>0</v>
      </c>
      <c r="AC161" s="185">
        <f t="shared" si="58"/>
        <v>0</v>
      </c>
      <c r="AD161" s="185">
        <f>+AD64-AD119</f>
        <v>0</v>
      </c>
      <c r="AE161" s="185">
        <f t="shared" si="58"/>
        <v>0</v>
      </c>
      <c r="AF161" s="185">
        <f>+AF64-AF119</f>
        <v>0</v>
      </c>
      <c r="AG161" s="185">
        <f t="shared" si="58"/>
        <v>0</v>
      </c>
      <c r="AH161" s="185">
        <f aca="true" t="shared" si="59" ref="AH161:AQ161">+AH64-AH119</f>
        <v>0</v>
      </c>
      <c r="AI161" s="185">
        <f t="shared" si="59"/>
        <v>0</v>
      </c>
      <c r="AJ161" s="185">
        <f>+AJ64-AJ119</f>
        <v>0</v>
      </c>
      <c r="AK161" s="185">
        <f t="shared" si="59"/>
        <v>0</v>
      </c>
      <c r="AL161" s="185">
        <f t="shared" si="59"/>
        <v>-1</v>
      </c>
      <c r="AM161" s="185">
        <f t="shared" si="59"/>
        <v>-1</v>
      </c>
      <c r="AN161" s="185">
        <f t="shared" si="59"/>
        <v>0</v>
      </c>
      <c r="AO161" s="185">
        <f t="shared" si="59"/>
        <v>0</v>
      </c>
      <c r="AP161" s="185">
        <f t="shared" si="59"/>
        <v>0</v>
      </c>
      <c r="AQ161" s="185">
        <f t="shared" si="59"/>
        <v>0</v>
      </c>
      <c r="AR161" s="185">
        <f t="shared" si="58"/>
        <v>0</v>
      </c>
      <c r="AS161" s="185">
        <f t="shared" si="58"/>
        <v>0</v>
      </c>
      <c r="AT161" s="185"/>
      <c r="AU161" s="164">
        <f>SUM(I161:AS161)</f>
        <v>-7</v>
      </c>
      <c r="AV161" s="185"/>
      <c r="AW161" s="185">
        <f>+AW64-AW119</f>
        <v>-2</v>
      </c>
      <c r="AX161" s="185">
        <f>+AX64-AX119</f>
        <v>-5</v>
      </c>
    </row>
    <row r="162" spans="1:50" ht="11.25" customHeight="1">
      <c r="A162" s="178" t="s">
        <v>156</v>
      </c>
      <c r="B162" s="178"/>
      <c r="C162" s="185">
        <f aca="true" t="shared" si="60" ref="C162:AS162">+C159-C97</f>
        <v>0</v>
      </c>
      <c r="D162" s="185">
        <f t="shared" si="60"/>
        <v>0</v>
      </c>
      <c r="E162" s="185">
        <f t="shared" si="60"/>
        <v>0</v>
      </c>
      <c r="F162" s="185">
        <f t="shared" si="60"/>
        <v>0</v>
      </c>
      <c r="G162" s="185">
        <f t="shared" si="60"/>
        <v>0</v>
      </c>
      <c r="H162" s="185">
        <f t="shared" si="60"/>
        <v>0</v>
      </c>
      <c r="I162" s="185">
        <f t="shared" si="60"/>
        <v>0</v>
      </c>
      <c r="J162" s="185">
        <f t="shared" si="60"/>
        <v>1</v>
      </c>
      <c r="K162" s="185">
        <f t="shared" si="60"/>
        <v>0</v>
      </c>
      <c r="L162" s="185">
        <f>+L159-L97</f>
        <v>-2</v>
      </c>
      <c r="M162" s="185">
        <f t="shared" si="60"/>
        <v>0</v>
      </c>
      <c r="N162" s="185">
        <f t="shared" si="60"/>
        <v>0</v>
      </c>
      <c r="O162" s="185">
        <f t="shared" si="60"/>
        <v>0</v>
      </c>
      <c r="P162" s="185">
        <f t="shared" si="60"/>
        <v>-1</v>
      </c>
      <c r="Q162" s="185">
        <f>+Q159-Q97</f>
        <v>-1</v>
      </c>
      <c r="R162" s="185">
        <f t="shared" si="60"/>
        <v>0</v>
      </c>
      <c r="S162" s="185">
        <f t="shared" si="60"/>
        <v>0</v>
      </c>
      <c r="T162" s="185">
        <f t="shared" si="60"/>
        <v>0</v>
      </c>
      <c r="U162" s="185">
        <f>+U159-U97</f>
        <v>0</v>
      </c>
      <c r="V162" s="185">
        <f t="shared" si="60"/>
        <v>1</v>
      </c>
      <c r="W162" s="185">
        <f t="shared" si="60"/>
        <v>-2</v>
      </c>
      <c r="X162" s="185">
        <f>+X159-X97</f>
        <v>0</v>
      </c>
      <c r="Y162" s="185">
        <f>+Y159-Y97</f>
        <v>1</v>
      </c>
      <c r="Z162" s="185">
        <f t="shared" si="60"/>
        <v>0</v>
      </c>
      <c r="AA162" s="185">
        <f t="shared" si="60"/>
        <v>0</v>
      </c>
      <c r="AB162" s="185">
        <f t="shared" si="60"/>
        <v>0</v>
      </c>
      <c r="AC162" s="185">
        <f t="shared" si="60"/>
        <v>0</v>
      </c>
      <c r="AD162" s="185">
        <f>+AD159-AD97</f>
        <v>0</v>
      </c>
      <c r="AE162" s="185">
        <f t="shared" si="60"/>
        <v>1</v>
      </c>
      <c r="AF162" s="185">
        <f>+AF159-AF97</f>
        <v>0</v>
      </c>
      <c r="AG162" s="185">
        <f t="shared" si="60"/>
        <v>0</v>
      </c>
      <c r="AH162" s="185">
        <f aca="true" t="shared" si="61" ref="AH162:AQ162">+AH159-AH97</f>
        <v>0</v>
      </c>
      <c r="AI162" s="185">
        <f t="shared" si="61"/>
        <v>-1</v>
      </c>
      <c r="AJ162" s="185">
        <f>+AJ159-AJ97</f>
        <v>1</v>
      </c>
      <c r="AK162" s="185">
        <f t="shared" si="61"/>
        <v>0</v>
      </c>
      <c r="AL162" s="185">
        <f t="shared" si="61"/>
        <v>0</v>
      </c>
      <c r="AM162" s="185">
        <f t="shared" si="61"/>
        <v>0</v>
      </c>
      <c r="AN162" s="185">
        <f t="shared" si="61"/>
        <v>0</v>
      </c>
      <c r="AO162" s="185">
        <f t="shared" si="61"/>
        <v>0</v>
      </c>
      <c r="AP162" s="185">
        <f t="shared" si="61"/>
        <v>0</v>
      </c>
      <c r="AQ162" s="185">
        <f t="shared" si="61"/>
        <v>0</v>
      </c>
      <c r="AR162" s="185">
        <f t="shared" si="60"/>
        <v>0</v>
      </c>
      <c r="AS162" s="185">
        <f t="shared" si="60"/>
        <v>0</v>
      </c>
      <c r="AT162" s="185"/>
      <c r="AU162" s="164">
        <f>SUM(I162:AS162)</f>
        <v>-2</v>
      </c>
      <c r="AV162" s="185"/>
      <c r="AW162" s="185">
        <f>+AW159-AW97</f>
        <v>0</v>
      </c>
      <c r="AX162" s="185">
        <f>+AX159-AX97</f>
        <v>-2</v>
      </c>
    </row>
    <row r="163" spans="1:50" ht="11.25" customHeight="1">
      <c r="A163" s="170" t="s">
        <v>20</v>
      </c>
      <c r="B163" s="221"/>
      <c r="C163" s="210" t="s">
        <v>21</v>
      </c>
      <c r="D163" s="210" t="s">
        <v>22</v>
      </c>
      <c r="E163" s="210" t="s">
        <v>21</v>
      </c>
      <c r="F163" s="210" t="s">
        <v>21</v>
      </c>
      <c r="G163" s="210" t="s">
        <v>21</v>
      </c>
      <c r="H163" s="210" t="s">
        <v>21</v>
      </c>
      <c r="I163" s="210" t="s">
        <v>21</v>
      </c>
      <c r="J163" s="210" t="s">
        <v>21</v>
      </c>
      <c r="K163" s="210" t="s">
        <v>21</v>
      </c>
      <c r="L163" s="210" t="s">
        <v>21</v>
      </c>
      <c r="M163" s="210" t="s">
        <v>21</v>
      </c>
      <c r="N163" s="210" t="s">
        <v>21</v>
      </c>
      <c r="O163" s="210" t="s">
        <v>21</v>
      </c>
      <c r="P163" s="210" t="s">
        <v>21</v>
      </c>
      <c r="Q163" s="210" t="s">
        <v>22</v>
      </c>
      <c r="R163" s="210" t="s">
        <v>21</v>
      </c>
      <c r="S163" s="210" t="s">
        <v>21</v>
      </c>
      <c r="T163" s="210" t="s">
        <v>21</v>
      </c>
      <c r="U163" s="210" t="s">
        <v>21</v>
      </c>
      <c r="V163" s="210" t="s">
        <v>21</v>
      </c>
      <c r="W163" s="210" t="s">
        <v>21</v>
      </c>
      <c r="X163" s="210" t="s">
        <v>21</v>
      </c>
      <c r="Y163" s="210" t="s">
        <v>21</v>
      </c>
      <c r="Z163" s="210" t="s">
        <v>22</v>
      </c>
      <c r="AA163" s="210" t="s">
        <v>21</v>
      </c>
      <c r="AB163" s="210" t="s">
        <v>21</v>
      </c>
      <c r="AC163" s="210" t="s">
        <v>21</v>
      </c>
      <c r="AD163" s="210" t="s">
        <v>21</v>
      </c>
      <c r="AE163" s="210" t="s">
        <v>22</v>
      </c>
      <c r="AF163" s="210" t="s">
        <v>22</v>
      </c>
      <c r="AG163" s="210" t="s">
        <v>21</v>
      </c>
      <c r="AH163" s="210" t="s">
        <v>21</v>
      </c>
      <c r="AI163" s="210" t="s">
        <v>22</v>
      </c>
      <c r="AJ163" s="210" t="s">
        <v>22</v>
      </c>
      <c r="AK163" s="210" t="s">
        <v>22</v>
      </c>
      <c r="AL163" s="210" t="s">
        <v>22</v>
      </c>
      <c r="AM163" s="210" t="s">
        <v>21</v>
      </c>
      <c r="AN163" s="210" t="s">
        <v>22</v>
      </c>
      <c r="AO163" s="210" t="s">
        <v>21</v>
      </c>
      <c r="AP163" s="210" t="s">
        <v>22</v>
      </c>
      <c r="AQ163" s="210" t="s">
        <v>22</v>
      </c>
      <c r="AR163" s="210" t="s">
        <v>22</v>
      </c>
      <c r="AS163" s="210" t="s">
        <v>22</v>
      </c>
      <c r="AT163" s="221"/>
      <c r="AU163" s="221">
        <f>COUNTIF(C163:AS163,"já")+COUNTIF(C163:AS163,"nei")</f>
        <v>43</v>
      </c>
      <c r="AV163" s="221"/>
      <c r="AW163" s="221">
        <f>COUNTIF($C$163:$AS$163,"já")</f>
        <v>14</v>
      </c>
      <c r="AX163" s="221">
        <f>COUNTIF($C$163:$AS$163,"nei")</f>
        <v>29</v>
      </c>
    </row>
    <row r="164" spans="1:50" ht="11.25" customHeight="1">
      <c r="A164" s="178" t="s">
        <v>411</v>
      </c>
      <c r="B164" s="178"/>
      <c r="C164" s="178" t="s">
        <v>413</v>
      </c>
      <c r="D164" s="178" t="s">
        <v>414</v>
      </c>
      <c r="E164" s="178" t="s">
        <v>415</v>
      </c>
      <c r="F164" s="178" t="s">
        <v>415</v>
      </c>
      <c r="G164" s="178" t="s">
        <v>412</v>
      </c>
      <c r="H164" s="178" t="s">
        <v>413</v>
      </c>
      <c r="I164" s="178" t="s">
        <v>412</v>
      </c>
      <c r="J164" s="178" t="s">
        <v>412</v>
      </c>
      <c r="K164" s="178" t="s">
        <v>412</v>
      </c>
      <c r="L164" s="178" t="s">
        <v>415</v>
      </c>
      <c r="M164" s="178" t="s">
        <v>412</v>
      </c>
      <c r="N164" s="178" t="s">
        <v>412</v>
      </c>
      <c r="O164" s="178" t="s">
        <v>415</v>
      </c>
      <c r="P164" s="178" t="s">
        <v>415</v>
      </c>
      <c r="Q164" s="178" t="s">
        <v>414</v>
      </c>
      <c r="R164" s="178" t="s">
        <v>414</v>
      </c>
      <c r="S164" s="178" t="s">
        <v>413</v>
      </c>
      <c r="T164" s="178" t="s">
        <v>412</v>
      </c>
      <c r="U164" s="178" t="s">
        <v>412</v>
      </c>
      <c r="V164" s="178" t="s">
        <v>413</v>
      </c>
      <c r="W164" s="178" t="s">
        <v>412</v>
      </c>
      <c r="X164" s="178" t="s">
        <v>415</v>
      </c>
      <c r="Y164" s="178" t="s">
        <v>415</v>
      </c>
      <c r="Z164" s="178" t="s">
        <v>414</v>
      </c>
      <c r="AA164" s="178" t="s">
        <v>415</v>
      </c>
      <c r="AB164" s="178" t="s">
        <v>413</v>
      </c>
      <c r="AC164" s="178" t="s">
        <v>414</v>
      </c>
      <c r="AD164" s="178" t="s">
        <v>413</v>
      </c>
      <c r="AE164" s="178" t="s">
        <v>414</v>
      </c>
      <c r="AF164" s="178" t="s">
        <v>414</v>
      </c>
      <c r="AG164" s="178" t="s">
        <v>413</v>
      </c>
      <c r="AH164" s="178" t="s">
        <v>412</v>
      </c>
      <c r="AI164" s="178" t="s">
        <v>414</v>
      </c>
      <c r="AJ164" s="178" t="s">
        <v>414</v>
      </c>
      <c r="AK164" s="178" t="s">
        <v>414</v>
      </c>
      <c r="AL164" s="178" t="s">
        <v>414</v>
      </c>
      <c r="AM164" s="178" t="s">
        <v>413</v>
      </c>
      <c r="AN164" s="178" t="s">
        <v>414</v>
      </c>
      <c r="AO164" s="178" t="s">
        <v>413</v>
      </c>
      <c r="AP164" s="178" t="s">
        <v>414</v>
      </c>
      <c r="AQ164" s="178" t="s">
        <v>413</v>
      </c>
      <c r="AR164" s="178" t="s">
        <v>414</v>
      </c>
      <c r="AS164" s="178" t="s">
        <v>414</v>
      </c>
      <c r="AT164" s="178"/>
      <c r="AU164" s="178"/>
      <c r="AV164" s="178"/>
      <c r="AW164" s="178"/>
      <c r="AX164" s="178"/>
    </row>
    <row r="165" spans="1:50" ht="11.25" customHeight="1">
      <c r="A165" s="178" t="s">
        <v>289</v>
      </c>
      <c r="B165" s="178"/>
      <c r="C165" s="178" t="s">
        <v>353</v>
      </c>
      <c r="D165" s="178" t="s">
        <v>354</v>
      </c>
      <c r="E165" s="178" t="s">
        <v>360</v>
      </c>
      <c r="F165" s="178" t="s">
        <v>340</v>
      </c>
      <c r="G165" s="178" t="s">
        <v>364</v>
      </c>
      <c r="H165" s="178" t="s">
        <v>365</v>
      </c>
      <c r="I165" s="178" t="s">
        <v>329</v>
      </c>
      <c r="J165" s="178" t="s">
        <v>330</v>
      </c>
      <c r="K165" s="178" t="s">
        <v>331</v>
      </c>
      <c r="L165" s="178" t="s">
        <v>574</v>
      </c>
      <c r="M165" s="178" t="s">
        <v>367</v>
      </c>
      <c r="N165" s="178" t="s">
        <v>339</v>
      </c>
      <c r="O165" s="178" t="s">
        <v>366</v>
      </c>
      <c r="P165" s="178" t="s">
        <v>338</v>
      </c>
      <c r="Q165" s="178" t="s">
        <v>352</v>
      </c>
      <c r="R165" s="178" t="s">
        <v>344</v>
      </c>
      <c r="S165" s="178" t="s">
        <v>345</v>
      </c>
      <c r="T165" s="178" t="s">
        <v>359</v>
      </c>
      <c r="U165" s="178" t="s">
        <v>341</v>
      </c>
      <c r="V165" s="178" t="s">
        <v>355</v>
      </c>
      <c r="W165" s="178" t="s">
        <v>356</v>
      </c>
      <c r="X165" s="178" t="s">
        <v>361</v>
      </c>
      <c r="Y165" s="178" t="s">
        <v>362</v>
      </c>
      <c r="Z165" s="178" t="s">
        <v>346</v>
      </c>
      <c r="AA165" s="178" t="s">
        <v>343</v>
      </c>
      <c r="AB165" s="178" t="s">
        <v>332</v>
      </c>
      <c r="AC165" s="178" t="s">
        <v>350</v>
      </c>
      <c r="AD165" s="178" t="s">
        <v>575</v>
      </c>
      <c r="AE165" s="178" t="s">
        <v>335</v>
      </c>
      <c r="AF165" s="178" t="s">
        <v>349</v>
      </c>
      <c r="AG165" s="178" t="s">
        <v>348</v>
      </c>
      <c r="AH165" s="178" t="s">
        <v>358</v>
      </c>
      <c r="AI165" s="178" t="s">
        <v>351</v>
      </c>
      <c r="AJ165" s="178" t="s">
        <v>336</v>
      </c>
      <c r="AK165" s="178" t="s">
        <v>333</v>
      </c>
      <c r="AL165" s="178" t="s">
        <v>342</v>
      </c>
      <c r="AM165" s="178" t="s">
        <v>334</v>
      </c>
      <c r="AN165" s="178" t="s">
        <v>576</v>
      </c>
      <c r="AO165" s="178" t="s">
        <v>363</v>
      </c>
      <c r="AP165" s="178" t="s">
        <v>347</v>
      </c>
      <c r="AQ165" s="178" t="s">
        <v>577</v>
      </c>
      <c r="AR165" s="178" t="s">
        <v>357</v>
      </c>
      <c r="AS165" s="178" t="s">
        <v>337</v>
      </c>
      <c r="AT165" s="178"/>
      <c r="AU165" s="178"/>
      <c r="AV165" s="178"/>
      <c r="AW165" s="178"/>
      <c r="AX165" s="178"/>
    </row>
    <row r="166" spans="3:49" ht="11.25" customHeight="1"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19"/>
      <c r="AU166" s="19"/>
      <c r="AV166" s="19"/>
      <c r="AW166" s="19"/>
    </row>
    <row r="167" spans="3:49" ht="11.25" customHeight="1"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19"/>
      <c r="AU167" s="19"/>
      <c r="AV167" s="19"/>
      <c r="AW167" s="19"/>
    </row>
    <row r="168" spans="3:49" ht="11.25" customHeight="1">
      <c r="C168" s="20"/>
      <c r="D168" s="20"/>
      <c r="E168" s="20"/>
      <c r="F168" s="20"/>
      <c r="H168" s="20"/>
      <c r="I168" s="26"/>
      <c r="J168" s="20"/>
      <c r="K168" s="20"/>
      <c r="L168" s="20"/>
      <c r="M168" s="20"/>
      <c r="N168" s="20"/>
      <c r="O168" s="20"/>
      <c r="Q168" s="20"/>
      <c r="S168" s="20"/>
      <c r="U168" s="20"/>
      <c r="V168" s="20"/>
      <c r="W168" s="31"/>
      <c r="Y168" s="20"/>
      <c r="Z168" s="20"/>
      <c r="AB168" s="20"/>
      <c r="AD168" s="20"/>
      <c r="AE168" s="20"/>
      <c r="AF168" s="20"/>
      <c r="AG168" s="20"/>
      <c r="AH168" s="20"/>
      <c r="AI168" s="35"/>
      <c r="AJ168" s="20"/>
      <c r="AK168" s="20"/>
      <c r="AL168" s="20"/>
      <c r="AM168" s="20"/>
      <c r="AN168" s="20"/>
      <c r="AO168" s="20"/>
      <c r="AP168" s="20"/>
      <c r="AQ168" s="20"/>
      <c r="AR168" s="20"/>
      <c r="AS168" s="35"/>
      <c r="AT168" s="19"/>
      <c r="AU168" s="19"/>
      <c r="AV168" s="19"/>
      <c r="AW168" s="19"/>
    </row>
    <row r="169" spans="3:49" ht="11.25" customHeight="1"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19"/>
      <c r="AT169" s="19"/>
      <c r="AU169" s="19"/>
      <c r="AV169" s="19"/>
      <c r="AW169" s="19"/>
    </row>
    <row r="170" spans="3:49" ht="11.25" customHeight="1">
      <c r="C170" s="20"/>
      <c r="D170" s="20"/>
      <c r="E170" s="20"/>
      <c r="F170" s="20"/>
      <c r="H170" s="20"/>
      <c r="I170" s="26"/>
      <c r="J170" s="20"/>
      <c r="K170" s="20"/>
      <c r="L170" s="20"/>
      <c r="M170" s="20"/>
      <c r="N170" s="20"/>
      <c r="O170" s="20"/>
      <c r="Q170" s="20"/>
      <c r="S170" s="20"/>
      <c r="U170" s="20"/>
      <c r="V170" s="20"/>
      <c r="W170" s="31"/>
      <c r="Y170" s="20"/>
      <c r="Z170" s="20"/>
      <c r="AB170" s="20"/>
      <c r="AD170" s="20"/>
      <c r="AE170" s="20"/>
      <c r="AF170" s="20"/>
      <c r="AG170" s="20"/>
      <c r="AH170" s="20"/>
      <c r="AI170" s="35"/>
      <c r="AJ170" s="20"/>
      <c r="AK170" s="20"/>
      <c r="AL170" s="20"/>
      <c r="AM170" s="20"/>
      <c r="AN170" s="20"/>
      <c r="AO170" s="20"/>
      <c r="AP170" s="20"/>
      <c r="AQ170" s="20"/>
      <c r="AR170" s="20"/>
      <c r="AS170" s="35"/>
      <c r="AT170" s="19"/>
      <c r="AU170" s="19"/>
      <c r="AV170" s="19"/>
      <c r="AW170" s="19"/>
    </row>
    <row r="171" spans="3:49" ht="11.25" customHeight="1"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19"/>
      <c r="AU171" s="28"/>
      <c r="AV171" s="19"/>
      <c r="AW171" s="19"/>
    </row>
    <row r="172" spans="3:49" ht="11.25" customHeight="1">
      <c r="C172" s="20"/>
      <c r="D172" s="20"/>
      <c r="E172" s="20"/>
      <c r="F172" s="20"/>
      <c r="H172" s="20"/>
      <c r="I172" s="26"/>
      <c r="J172" s="20"/>
      <c r="K172" s="20"/>
      <c r="L172" s="20"/>
      <c r="M172" s="20"/>
      <c r="N172" s="20"/>
      <c r="O172" s="20"/>
      <c r="Q172" s="20"/>
      <c r="S172" s="20"/>
      <c r="U172" s="20"/>
      <c r="V172" s="20"/>
      <c r="W172" s="31"/>
      <c r="Y172" s="20"/>
      <c r="Z172" s="20"/>
      <c r="AB172" s="20"/>
      <c r="AD172" s="20"/>
      <c r="AE172" s="20"/>
      <c r="AF172" s="20"/>
      <c r="AG172" s="20"/>
      <c r="AH172" s="20"/>
      <c r="AI172" s="35"/>
      <c r="AJ172" s="20"/>
      <c r="AK172" s="20"/>
      <c r="AL172" s="20"/>
      <c r="AM172" s="20"/>
      <c r="AN172" s="20"/>
      <c r="AO172" s="20"/>
      <c r="AP172" s="20"/>
      <c r="AQ172" s="20"/>
      <c r="AR172" s="20"/>
      <c r="AS172" s="35"/>
      <c r="AT172" s="19"/>
      <c r="AU172" s="19"/>
      <c r="AV172" s="19"/>
      <c r="AW172" s="19"/>
    </row>
    <row r="173" spans="3:49" ht="11.25" customHeight="1">
      <c r="C173" s="20"/>
      <c r="D173" s="20"/>
      <c r="E173" s="20"/>
      <c r="F173" s="20"/>
      <c r="H173" s="20"/>
      <c r="I173" s="26"/>
      <c r="J173" s="20"/>
      <c r="K173" s="20"/>
      <c r="L173" s="20"/>
      <c r="M173" s="20"/>
      <c r="N173" s="20"/>
      <c r="O173" s="20"/>
      <c r="Q173" s="20"/>
      <c r="S173" s="20"/>
      <c r="U173" s="20"/>
      <c r="V173" s="20"/>
      <c r="W173" s="31"/>
      <c r="Y173" s="20"/>
      <c r="Z173" s="20"/>
      <c r="AB173" s="20"/>
      <c r="AD173" s="20"/>
      <c r="AE173" s="20"/>
      <c r="AF173" s="20"/>
      <c r="AG173" s="20"/>
      <c r="AH173" s="20"/>
      <c r="AI173" s="35"/>
      <c r="AJ173" s="20"/>
      <c r="AK173" s="20"/>
      <c r="AL173" s="20"/>
      <c r="AM173" s="20"/>
      <c r="AN173" s="20"/>
      <c r="AO173" s="20"/>
      <c r="AP173" s="20"/>
      <c r="AQ173" s="20"/>
      <c r="AR173" s="20"/>
      <c r="AS173" s="35"/>
      <c r="AT173" s="19"/>
      <c r="AU173" s="19"/>
      <c r="AV173" s="19"/>
      <c r="AW173" s="19"/>
    </row>
    <row r="174" spans="3:50" ht="11.25" customHeight="1">
      <c r="C174" s="19"/>
      <c r="D174" s="19"/>
      <c r="E174" s="19"/>
      <c r="F174" s="19"/>
      <c r="G174" s="19"/>
      <c r="H174" s="19"/>
      <c r="I174" s="26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22"/>
    </row>
    <row r="175" spans="3:50" ht="11.25" customHeight="1">
      <c r="C175" s="20"/>
      <c r="D175" s="20"/>
      <c r="E175" s="20"/>
      <c r="F175" s="20"/>
      <c r="H175" s="20"/>
      <c r="I175" s="26"/>
      <c r="J175" s="20"/>
      <c r="K175" s="20"/>
      <c r="L175" s="20"/>
      <c r="M175" s="20"/>
      <c r="N175" s="20"/>
      <c r="O175" s="20"/>
      <c r="Q175" s="20"/>
      <c r="S175" s="20"/>
      <c r="U175" s="20"/>
      <c r="V175" s="20"/>
      <c r="W175" s="31"/>
      <c r="Y175" s="20"/>
      <c r="Z175" s="20"/>
      <c r="AB175" s="19"/>
      <c r="AD175" s="20"/>
      <c r="AE175" s="19"/>
      <c r="AF175" s="20"/>
      <c r="AG175" s="20"/>
      <c r="AH175" s="20"/>
      <c r="AI175" s="35"/>
      <c r="AJ175" s="20"/>
      <c r="AK175" s="20"/>
      <c r="AL175" s="20"/>
      <c r="AM175" s="20"/>
      <c r="AN175" s="20"/>
      <c r="AO175" s="20"/>
      <c r="AP175" s="20"/>
      <c r="AQ175" s="20"/>
      <c r="AR175" s="20"/>
      <c r="AS175" s="35"/>
      <c r="AT175" s="19"/>
      <c r="AU175" s="19"/>
      <c r="AV175" s="19"/>
      <c r="AW175" s="19"/>
      <c r="AX175" s="22"/>
    </row>
    <row r="176" spans="3:50" ht="11.25" customHeight="1">
      <c r="C176" s="20"/>
      <c r="D176" s="20"/>
      <c r="E176" s="20"/>
      <c r="F176" s="20"/>
      <c r="H176" s="20"/>
      <c r="I176" s="26"/>
      <c r="J176" s="20"/>
      <c r="K176" s="20"/>
      <c r="L176" s="20"/>
      <c r="M176" s="20"/>
      <c r="N176" s="20"/>
      <c r="O176" s="20"/>
      <c r="Q176" s="20"/>
      <c r="S176" s="20"/>
      <c r="U176" s="20"/>
      <c r="V176" s="20"/>
      <c r="W176" s="31"/>
      <c r="Y176" s="20"/>
      <c r="Z176" s="20"/>
      <c r="AB176" s="20"/>
      <c r="AD176" s="20"/>
      <c r="AE176" s="20"/>
      <c r="AF176" s="20"/>
      <c r="AG176" s="20"/>
      <c r="AH176" s="20"/>
      <c r="AI176" s="35"/>
      <c r="AJ176" s="20"/>
      <c r="AK176" s="20"/>
      <c r="AL176" s="20"/>
      <c r="AM176" s="20"/>
      <c r="AN176" s="20"/>
      <c r="AO176" s="20"/>
      <c r="AP176" s="20"/>
      <c r="AQ176" s="20"/>
      <c r="AR176" s="20"/>
      <c r="AS176" s="35"/>
      <c r="AT176" s="19"/>
      <c r="AU176" s="19"/>
      <c r="AV176" s="19"/>
      <c r="AW176" s="19"/>
      <c r="AX176" s="22"/>
    </row>
    <row r="177" spans="3:50" ht="11.25" customHeight="1"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0"/>
      <c r="AC177" s="19"/>
      <c r="AD177" s="26"/>
      <c r="AE177" s="26"/>
      <c r="AF177" s="26"/>
      <c r="AG177" s="26"/>
      <c r="AH177" s="26"/>
      <c r="AI177" s="26"/>
      <c r="AJ177" s="26"/>
      <c r="AK177" s="20"/>
      <c r="AL177" s="26"/>
      <c r="AM177" s="20"/>
      <c r="AN177" s="26"/>
      <c r="AO177" s="26"/>
      <c r="AP177" s="26"/>
      <c r="AQ177" s="26"/>
      <c r="AR177" s="26"/>
      <c r="AS177" s="26"/>
      <c r="AT177" s="19"/>
      <c r="AU177" s="19"/>
      <c r="AV177" s="19"/>
      <c r="AW177" s="19"/>
      <c r="AX177" s="22"/>
    </row>
    <row r="178" spans="3:50" ht="11.25" customHeight="1"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0"/>
      <c r="AC178" s="19"/>
      <c r="AD178" s="26"/>
      <c r="AE178" s="26"/>
      <c r="AF178" s="26"/>
      <c r="AG178" s="26"/>
      <c r="AH178" s="26"/>
      <c r="AI178" s="26"/>
      <c r="AJ178" s="26"/>
      <c r="AK178" s="20"/>
      <c r="AL178" s="26"/>
      <c r="AM178" s="20"/>
      <c r="AN178" s="26"/>
      <c r="AO178" s="26"/>
      <c r="AP178" s="26"/>
      <c r="AQ178" s="26"/>
      <c r="AR178" s="26"/>
      <c r="AS178" s="26"/>
      <c r="AT178" s="19"/>
      <c r="AU178" s="19"/>
      <c r="AV178" s="19"/>
      <c r="AW178" s="19"/>
      <c r="AX178" s="22"/>
    </row>
    <row r="179" spans="3:49" ht="11.25" customHeight="1"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0"/>
      <c r="AC179" s="19"/>
      <c r="AD179" s="26"/>
      <c r="AE179" s="26"/>
      <c r="AF179" s="26"/>
      <c r="AG179" s="26"/>
      <c r="AH179" s="26"/>
      <c r="AI179" s="26"/>
      <c r="AJ179" s="26"/>
      <c r="AK179" s="20"/>
      <c r="AL179" s="26"/>
      <c r="AM179" s="20"/>
      <c r="AN179" s="26"/>
      <c r="AO179" s="26"/>
      <c r="AP179" s="26"/>
      <c r="AQ179" s="26"/>
      <c r="AR179" s="26"/>
      <c r="AS179" s="26"/>
      <c r="AT179" s="19"/>
      <c r="AU179" s="19"/>
      <c r="AV179" s="19"/>
      <c r="AW179" s="19"/>
    </row>
    <row r="180" spans="3:49" ht="11.25" customHeight="1"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19"/>
      <c r="Y180" s="26"/>
      <c r="Z180" s="26"/>
      <c r="AA180" s="26"/>
      <c r="AB180" s="26"/>
      <c r="AC180" s="19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19"/>
      <c r="AU180" s="19"/>
      <c r="AV180" s="19"/>
      <c r="AW180" s="19"/>
    </row>
    <row r="181" spans="3:49" ht="11.25" customHeight="1"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19"/>
      <c r="AU181" s="19"/>
      <c r="AV181" s="19"/>
      <c r="AW181" s="19"/>
    </row>
    <row r="182" spans="3:49" ht="11.25" customHeight="1">
      <c r="C182" s="20"/>
      <c r="D182" s="20"/>
      <c r="E182" s="20"/>
      <c r="F182" s="20"/>
      <c r="H182" s="20"/>
      <c r="I182" s="26"/>
      <c r="J182" s="20"/>
      <c r="K182" s="20"/>
      <c r="L182" s="20"/>
      <c r="M182" s="20"/>
      <c r="N182" s="20"/>
      <c r="O182" s="20"/>
      <c r="Q182" s="20"/>
      <c r="S182" s="20"/>
      <c r="U182" s="20"/>
      <c r="V182" s="20"/>
      <c r="W182" s="31"/>
      <c r="X182" s="19"/>
      <c r="Y182" s="20"/>
      <c r="Z182" s="20"/>
      <c r="AB182" s="20"/>
      <c r="AD182" s="20"/>
      <c r="AE182" s="20"/>
      <c r="AF182" s="20"/>
      <c r="AG182" s="20"/>
      <c r="AH182" s="20"/>
      <c r="AI182" s="35"/>
      <c r="AJ182" s="20"/>
      <c r="AK182" s="20"/>
      <c r="AL182" s="20"/>
      <c r="AM182" s="20"/>
      <c r="AN182" s="20"/>
      <c r="AO182" s="20"/>
      <c r="AP182" s="20"/>
      <c r="AQ182" s="20"/>
      <c r="AR182" s="20"/>
      <c r="AS182" s="26"/>
      <c r="AT182" s="19"/>
      <c r="AU182" s="19"/>
      <c r="AV182" s="19"/>
      <c r="AW182" s="19"/>
    </row>
    <row r="183" spans="3:49" ht="11.25" customHeight="1">
      <c r="C183" s="19"/>
      <c r="D183" s="19"/>
      <c r="E183" s="19"/>
      <c r="F183" s="19"/>
      <c r="G183" s="19"/>
      <c r="H183" s="19"/>
      <c r="I183" s="26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26"/>
      <c r="AK183" s="19"/>
      <c r="AL183" s="19"/>
      <c r="AM183" s="19"/>
      <c r="AN183" s="19"/>
      <c r="AO183" s="19"/>
      <c r="AP183" s="19"/>
      <c r="AQ183" s="19"/>
      <c r="AR183" s="19"/>
      <c r="AS183" s="26"/>
      <c r="AT183" s="19"/>
      <c r="AU183" s="19"/>
      <c r="AV183" s="19"/>
      <c r="AW183" s="19"/>
    </row>
    <row r="184" spans="3:49" ht="11.25" customHeight="1">
      <c r="C184" s="20"/>
      <c r="D184" s="20"/>
      <c r="E184" s="20"/>
      <c r="F184" s="20"/>
      <c r="H184" s="20"/>
      <c r="I184" s="26"/>
      <c r="J184" s="20"/>
      <c r="K184" s="20"/>
      <c r="L184" s="20"/>
      <c r="M184" s="20"/>
      <c r="N184" s="20"/>
      <c r="O184" s="20"/>
      <c r="Q184" s="20"/>
      <c r="S184" s="20"/>
      <c r="U184" s="20"/>
      <c r="V184" s="20"/>
      <c r="W184" s="31"/>
      <c r="X184" s="28"/>
      <c r="Y184" s="20"/>
      <c r="Z184" s="20"/>
      <c r="AB184" s="20"/>
      <c r="AD184" s="20"/>
      <c r="AE184" s="20"/>
      <c r="AF184" s="20"/>
      <c r="AG184" s="20"/>
      <c r="AH184" s="20"/>
      <c r="AI184" s="35"/>
      <c r="AJ184" s="20"/>
      <c r="AK184" s="20"/>
      <c r="AL184" s="20"/>
      <c r="AM184" s="20"/>
      <c r="AN184" s="20"/>
      <c r="AO184" s="20"/>
      <c r="AP184" s="20"/>
      <c r="AQ184" s="20"/>
      <c r="AR184" s="20"/>
      <c r="AS184" s="26"/>
      <c r="AT184" s="19"/>
      <c r="AU184" s="19"/>
      <c r="AV184" s="19"/>
      <c r="AW184" s="19"/>
    </row>
    <row r="185" spans="3:49" ht="11.25" customHeight="1"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19"/>
      <c r="AU185" s="28"/>
      <c r="AV185" s="19"/>
      <c r="AW185" s="19"/>
    </row>
    <row r="186" spans="3:49" ht="11.25" customHeight="1">
      <c r="C186" s="20"/>
      <c r="D186" s="20"/>
      <c r="E186" s="20"/>
      <c r="F186" s="20"/>
      <c r="G186" s="19"/>
      <c r="H186" s="20"/>
      <c r="I186" s="26"/>
      <c r="J186" s="20"/>
      <c r="K186" s="20"/>
      <c r="L186" s="20"/>
      <c r="M186" s="20"/>
      <c r="N186" s="20"/>
      <c r="O186" s="20"/>
      <c r="P186" s="19"/>
      <c r="Q186" s="20"/>
      <c r="R186" s="19"/>
      <c r="S186" s="20"/>
      <c r="U186" s="20"/>
      <c r="V186" s="20"/>
      <c r="W186" s="31"/>
      <c r="X186" s="28"/>
      <c r="Y186" s="20"/>
      <c r="Z186" s="20"/>
      <c r="AA186" s="19"/>
      <c r="AB186" s="20"/>
      <c r="AD186" s="20"/>
      <c r="AE186" s="20"/>
      <c r="AF186" s="20"/>
      <c r="AG186" s="20"/>
      <c r="AH186" s="20"/>
      <c r="AI186" s="35"/>
      <c r="AJ186" s="20"/>
      <c r="AK186" s="20"/>
      <c r="AL186" s="20"/>
      <c r="AM186" s="20"/>
      <c r="AN186" s="20"/>
      <c r="AO186" s="20"/>
      <c r="AP186" s="20"/>
      <c r="AQ186" s="20"/>
      <c r="AR186" s="20"/>
      <c r="AS186" s="35"/>
      <c r="AT186" s="19"/>
      <c r="AU186" s="19"/>
      <c r="AV186" s="19"/>
      <c r="AW186" s="19"/>
    </row>
    <row r="187" spans="3:49" ht="11.25" customHeight="1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28"/>
      <c r="AU187" s="28"/>
      <c r="AV187" s="28"/>
      <c r="AW187" s="28"/>
    </row>
    <row r="188" spans="3:48" ht="11.25" customHeight="1"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19"/>
      <c r="AK188" s="26"/>
      <c r="AL188" s="26"/>
      <c r="AM188" s="19"/>
      <c r="AN188" s="26"/>
      <c r="AO188" s="26"/>
      <c r="AP188" s="26"/>
      <c r="AQ188" s="26"/>
      <c r="AR188" s="26"/>
      <c r="AS188" s="26"/>
      <c r="AT188" s="19"/>
      <c r="AU188" s="19"/>
      <c r="AV188" s="19"/>
    </row>
    <row r="189" spans="3:50" ht="11.25" customHeight="1"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19"/>
      <c r="AK189" s="26"/>
      <c r="AL189" s="26"/>
      <c r="AM189" s="26"/>
      <c r="AN189" s="26"/>
      <c r="AO189" s="26"/>
      <c r="AP189" s="26"/>
      <c r="AQ189" s="26"/>
      <c r="AR189" s="26"/>
      <c r="AS189" s="19"/>
      <c r="AT189" s="19"/>
      <c r="AU189" s="19"/>
      <c r="AV189" s="19"/>
      <c r="AW189" s="19"/>
      <c r="AX189" s="19"/>
    </row>
    <row r="190" spans="3:50" ht="11.25" customHeight="1"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19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19"/>
      <c r="AK190" s="26"/>
      <c r="AL190" s="26"/>
      <c r="AM190" s="26"/>
      <c r="AN190" s="26"/>
      <c r="AO190" s="26"/>
      <c r="AP190" s="26"/>
      <c r="AQ190" s="26"/>
      <c r="AR190" s="26"/>
      <c r="AS190" s="19"/>
      <c r="AT190" s="19"/>
      <c r="AU190" s="19"/>
      <c r="AV190" s="19"/>
      <c r="AW190" s="19"/>
      <c r="AX190" s="19"/>
    </row>
    <row r="191" spans="3:50" ht="11.25" customHeight="1">
      <c r="C191" s="26"/>
      <c r="D191" s="26"/>
      <c r="E191" s="26"/>
      <c r="F191" s="26"/>
      <c r="G191" s="26"/>
      <c r="H191" s="26"/>
      <c r="I191" s="26"/>
      <c r="J191" s="26"/>
      <c r="K191" s="20"/>
      <c r="L191" s="26"/>
      <c r="M191" s="26"/>
      <c r="N191" s="26"/>
      <c r="O191" s="26"/>
      <c r="P191" s="19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0"/>
      <c r="AC191" s="26"/>
      <c r="AD191" s="26"/>
      <c r="AE191" s="26"/>
      <c r="AF191" s="26"/>
      <c r="AG191" s="26"/>
      <c r="AH191" s="26"/>
      <c r="AI191" s="26"/>
      <c r="AJ191" s="19"/>
      <c r="AK191" s="20"/>
      <c r="AL191" s="26"/>
      <c r="AM191" s="20"/>
      <c r="AN191" s="26"/>
      <c r="AO191" s="26"/>
      <c r="AP191" s="26"/>
      <c r="AQ191" s="26"/>
      <c r="AR191" s="26"/>
      <c r="AS191" s="19"/>
      <c r="AT191" s="19"/>
      <c r="AU191" s="19"/>
      <c r="AV191" s="19"/>
      <c r="AW191" s="19"/>
      <c r="AX191" s="19"/>
    </row>
    <row r="192" spans="3:50" ht="11.25" customHeight="1">
      <c r="C192" s="26"/>
      <c r="D192" s="26"/>
      <c r="E192" s="26"/>
      <c r="F192" s="26"/>
      <c r="G192" s="26"/>
      <c r="H192" s="26"/>
      <c r="I192" s="26"/>
      <c r="J192" s="26"/>
      <c r="K192" s="20"/>
      <c r="L192" s="26"/>
      <c r="M192" s="26"/>
      <c r="N192" s="26"/>
      <c r="O192" s="26"/>
      <c r="P192" s="19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0"/>
      <c r="AC192" s="26"/>
      <c r="AD192" s="26"/>
      <c r="AE192" s="26"/>
      <c r="AF192" s="26"/>
      <c r="AG192" s="26"/>
      <c r="AH192" s="26"/>
      <c r="AI192" s="26"/>
      <c r="AJ192" s="19"/>
      <c r="AK192" s="20"/>
      <c r="AL192" s="26"/>
      <c r="AM192" s="20"/>
      <c r="AN192" s="26"/>
      <c r="AO192" s="26"/>
      <c r="AP192" s="26"/>
      <c r="AQ192" s="26"/>
      <c r="AR192" s="26"/>
      <c r="AS192" s="19"/>
      <c r="AT192" s="19"/>
      <c r="AU192" s="19"/>
      <c r="AV192" s="19"/>
      <c r="AW192" s="19"/>
      <c r="AX192" s="19"/>
    </row>
    <row r="193" spans="3:50" ht="11.25" customHeight="1"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19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19"/>
      <c r="AK193" s="26"/>
      <c r="AL193" s="26"/>
      <c r="AM193" s="26"/>
      <c r="AN193" s="26"/>
      <c r="AO193" s="26"/>
      <c r="AP193" s="26"/>
      <c r="AQ193" s="26"/>
      <c r="AR193" s="26"/>
      <c r="AS193" s="19"/>
      <c r="AT193" s="19"/>
      <c r="AU193" s="19"/>
      <c r="AV193" s="19"/>
      <c r="AW193" s="19"/>
      <c r="AX193" s="19"/>
    </row>
    <row r="194" spans="3:50" ht="11.25" customHeight="1"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19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19"/>
      <c r="AK194" s="26"/>
      <c r="AL194" s="26"/>
      <c r="AM194" s="26"/>
      <c r="AN194" s="26"/>
      <c r="AO194" s="26"/>
      <c r="AP194" s="26"/>
      <c r="AQ194" s="26"/>
      <c r="AR194" s="26"/>
      <c r="AS194" s="19"/>
      <c r="AT194" s="19"/>
      <c r="AU194" s="19"/>
      <c r="AV194" s="19"/>
      <c r="AW194" s="19"/>
      <c r="AX194" s="19"/>
    </row>
    <row r="195" spans="3:50" ht="11.25" customHeight="1">
      <c r="C195" s="20"/>
      <c r="D195" s="20"/>
      <c r="H195" s="20"/>
      <c r="I195" s="26"/>
      <c r="J195" s="20"/>
      <c r="K195" s="26"/>
      <c r="L195" s="20"/>
      <c r="M195" s="20"/>
      <c r="O195" s="20"/>
      <c r="Q195" s="20"/>
      <c r="S195" s="20"/>
      <c r="U195" s="20"/>
      <c r="Y195" s="26"/>
      <c r="Z195" s="20"/>
      <c r="AB195" s="26"/>
      <c r="AD195" s="20"/>
      <c r="AE195" s="20"/>
      <c r="AG195" s="20"/>
      <c r="AI195" s="35"/>
      <c r="AJ195" s="20"/>
      <c r="AK195" s="26"/>
      <c r="AL195" s="20"/>
      <c r="AM195" s="26"/>
      <c r="AN195" s="20"/>
      <c r="AP195" s="20"/>
      <c r="AQ195" s="20"/>
      <c r="AS195" s="35"/>
      <c r="AT195" s="19"/>
      <c r="AU195" s="19"/>
      <c r="AV195" s="19"/>
      <c r="AW195" s="19"/>
      <c r="AX195" s="19"/>
    </row>
    <row r="196" spans="3:50" ht="11.25" customHeight="1">
      <c r="C196" s="20"/>
      <c r="D196" s="20"/>
      <c r="H196" s="20"/>
      <c r="I196" s="26"/>
      <c r="J196" s="20"/>
      <c r="K196" s="26"/>
      <c r="L196" s="20"/>
      <c r="M196" s="20"/>
      <c r="Q196" s="20"/>
      <c r="S196" s="20"/>
      <c r="U196" s="20"/>
      <c r="Y196" s="26"/>
      <c r="Z196" s="20"/>
      <c r="AB196" s="26"/>
      <c r="AD196" s="20"/>
      <c r="AE196" s="20"/>
      <c r="AG196" s="20"/>
      <c r="AI196" s="35"/>
      <c r="AJ196" s="20"/>
      <c r="AK196" s="26"/>
      <c r="AL196" s="20"/>
      <c r="AM196" s="26"/>
      <c r="AN196" s="20"/>
      <c r="AP196" s="20"/>
      <c r="AQ196" s="20"/>
      <c r="AS196" s="35"/>
      <c r="AT196" s="19"/>
      <c r="AU196" s="19"/>
      <c r="AV196" s="19"/>
      <c r="AW196" s="19"/>
      <c r="AX196" s="19"/>
    </row>
    <row r="197" spans="3:50" ht="11.25" customHeight="1">
      <c r="C197" s="26"/>
      <c r="D197" s="26"/>
      <c r="E197" s="26"/>
      <c r="F197" s="26"/>
      <c r="G197" s="19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19"/>
      <c r="AU197" s="19"/>
      <c r="AV197" s="19"/>
      <c r="AW197" s="19"/>
      <c r="AX197" s="19"/>
    </row>
    <row r="198" spans="3:50" ht="11.25" customHeight="1">
      <c r="C198" s="26"/>
      <c r="D198" s="26"/>
      <c r="E198" s="26"/>
      <c r="F198" s="26"/>
      <c r="G198" s="19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19"/>
      <c r="AU198" s="19"/>
      <c r="AV198" s="19"/>
      <c r="AW198" s="19"/>
      <c r="AX198" s="19"/>
    </row>
    <row r="199" spans="3:50" ht="11.25" customHeight="1">
      <c r="C199" s="26"/>
      <c r="D199" s="26"/>
      <c r="E199" s="26"/>
      <c r="F199" s="26"/>
      <c r="G199" s="19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19"/>
      <c r="AU199" s="19"/>
      <c r="AV199" s="19"/>
      <c r="AW199" s="19"/>
      <c r="AX199" s="19"/>
    </row>
    <row r="200" spans="3:50" ht="11.25" customHeight="1"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19"/>
      <c r="AU200" s="19"/>
      <c r="AV200" s="19"/>
      <c r="AW200" s="19"/>
      <c r="AX200" s="19"/>
    </row>
    <row r="201" spans="3:50" ht="11.25" customHeight="1">
      <c r="C201" s="26"/>
      <c r="D201" s="26"/>
      <c r="E201" s="26"/>
      <c r="F201" s="26"/>
      <c r="G201" s="19"/>
      <c r="H201" s="26"/>
      <c r="I201" s="26"/>
      <c r="J201" s="26"/>
      <c r="K201" s="19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19"/>
      <c r="AC201" s="26"/>
      <c r="AD201" s="26"/>
      <c r="AE201" s="26"/>
      <c r="AF201" s="26"/>
      <c r="AG201" s="26"/>
      <c r="AH201" s="26"/>
      <c r="AI201" s="26"/>
      <c r="AJ201" s="26"/>
      <c r="AK201" s="19"/>
      <c r="AL201" s="26"/>
      <c r="AM201" s="19"/>
      <c r="AN201" s="26"/>
      <c r="AO201" s="26"/>
      <c r="AP201" s="26"/>
      <c r="AQ201" s="26"/>
      <c r="AR201" s="26"/>
      <c r="AS201" s="26"/>
      <c r="AT201" s="19"/>
      <c r="AU201" s="19"/>
      <c r="AV201" s="19"/>
      <c r="AW201" s="19"/>
      <c r="AX201" s="19"/>
    </row>
    <row r="202" spans="3:50" ht="11.25" customHeight="1">
      <c r="C202" s="26"/>
      <c r="D202" s="26"/>
      <c r="E202" s="26"/>
      <c r="F202" s="26"/>
      <c r="G202" s="26"/>
      <c r="H202" s="26"/>
      <c r="I202" s="26"/>
      <c r="J202" s="26"/>
      <c r="K202" s="20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0"/>
      <c r="AC202" s="26"/>
      <c r="AD202" s="26"/>
      <c r="AE202" s="26"/>
      <c r="AF202" s="26"/>
      <c r="AG202" s="26"/>
      <c r="AH202" s="26"/>
      <c r="AI202" s="26"/>
      <c r="AJ202" s="26"/>
      <c r="AK202" s="20"/>
      <c r="AL202" s="26"/>
      <c r="AM202" s="20"/>
      <c r="AN202" s="26"/>
      <c r="AO202" s="26"/>
      <c r="AP202" s="26"/>
      <c r="AQ202" s="26"/>
      <c r="AR202" s="26"/>
      <c r="AS202" s="26"/>
      <c r="AT202" s="19"/>
      <c r="AU202" s="19"/>
      <c r="AV202" s="19"/>
      <c r="AW202" s="19"/>
      <c r="AX202" s="19"/>
    </row>
    <row r="203" spans="3:50" ht="11.25" customHeight="1"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19"/>
      <c r="AU203" s="19"/>
      <c r="AV203" s="19"/>
      <c r="AW203" s="19"/>
      <c r="AX203" s="19"/>
    </row>
    <row r="204" spans="3:50" ht="11.25" customHeight="1"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19"/>
      <c r="AU204" s="19"/>
      <c r="AV204" s="19"/>
      <c r="AW204" s="19"/>
      <c r="AX204" s="19"/>
    </row>
    <row r="205" spans="3:50" ht="11.25" customHeight="1">
      <c r="C205" s="19"/>
      <c r="D205" s="19"/>
      <c r="E205" s="19"/>
      <c r="F205" s="19"/>
      <c r="G205" s="19"/>
      <c r="H205" s="19"/>
      <c r="I205" s="26"/>
      <c r="J205" s="19"/>
      <c r="K205" s="26"/>
      <c r="L205" s="19"/>
      <c r="M205" s="19"/>
      <c r="N205" s="19"/>
      <c r="O205" s="20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26"/>
      <c r="AC205" s="19"/>
      <c r="AD205" s="19"/>
      <c r="AE205" s="19"/>
      <c r="AF205" s="19"/>
      <c r="AG205" s="19"/>
      <c r="AH205" s="19"/>
      <c r="AI205" s="19"/>
      <c r="AJ205" s="26"/>
      <c r="AK205" s="26"/>
      <c r="AL205" s="19"/>
      <c r="AM205" s="26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</row>
    <row r="206" spans="3:50" ht="11.25" customHeight="1">
      <c r="C206" s="20"/>
      <c r="D206" s="20"/>
      <c r="E206" s="20"/>
      <c r="F206" s="20"/>
      <c r="H206" s="20"/>
      <c r="I206" s="26"/>
      <c r="J206" s="20"/>
      <c r="K206" s="26"/>
      <c r="L206" s="20"/>
      <c r="M206" s="20"/>
      <c r="N206" s="20"/>
      <c r="O206" s="26"/>
      <c r="Q206" s="20"/>
      <c r="S206" s="20"/>
      <c r="U206" s="20"/>
      <c r="V206" s="20"/>
      <c r="W206" s="31"/>
      <c r="Y206" s="20"/>
      <c r="Z206" s="20"/>
      <c r="AB206" s="26"/>
      <c r="AD206" s="20"/>
      <c r="AE206" s="20"/>
      <c r="AF206" s="20"/>
      <c r="AG206" s="20"/>
      <c r="AH206" s="20"/>
      <c r="AI206" s="35"/>
      <c r="AJ206" s="26"/>
      <c r="AK206" s="26"/>
      <c r="AL206" s="20"/>
      <c r="AM206" s="26"/>
      <c r="AN206" s="20"/>
      <c r="AO206" s="20"/>
      <c r="AP206" s="20"/>
      <c r="AQ206" s="20"/>
      <c r="AR206" s="20"/>
      <c r="AS206" s="35"/>
      <c r="AT206" s="19"/>
      <c r="AU206" s="19"/>
      <c r="AV206" s="19"/>
      <c r="AW206" s="19"/>
      <c r="AX206" s="19"/>
    </row>
    <row r="207" spans="3:50" ht="11.25" customHeight="1">
      <c r="C207" s="26"/>
      <c r="D207" s="26"/>
      <c r="E207" s="26"/>
      <c r="F207" s="26"/>
      <c r="G207" s="26"/>
      <c r="H207" s="26"/>
      <c r="I207" s="26"/>
      <c r="J207" s="26"/>
      <c r="K207" s="20"/>
      <c r="L207" s="26"/>
      <c r="M207" s="26"/>
      <c r="N207" s="26"/>
      <c r="O207" s="26"/>
      <c r="P207" s="26"/>
      <c r="Q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0"/>
      <c r="AC207" s="26"/>
      <c r="AD207" s="26"/>
      <c r="AE207" s="26"/>
      <c r="AF207" s="26"/>
      <c r="AG207" s="26"/>
      <c r="AH207" s="26"/>
      <c r="AI207" s="26"/>
      <c r="AJ207" s="26"/>
      <c r="AK207" s="20"/>
      <c r="AL207" s="26"/>
      <c r="AM207" s="20"/>
      <c r="AN207" s="26"/>
      <c r="AO207" s="26"/>
      <c r="AP207" s="26"/>
      <c r="AQ207" s="26"/>
      <c r="AR207" s="26"/>
      <c r="AS207" s="26"/>
      <c r="AT207" s="19"/>
      <c r="AU207" s="19"/>
      <c r="AV207" s="19"/>
      <c r="AW207" s="19"/>
      <c r="AX207" s="19"/>
    </row>
    <row r="208" spans="3:50" ht="11.25" customHeight="1">
      <c r="C208" s="26"/>
      <c r="D208" s="26"/>
      <c r="E208" s="26"/>
      <c r="F208" s="26"/>
      <c r="G208" s="26"/>
      <c r="H208" s="26"/>
      <c r="I208" s="26"/>
      <c r="J208" s="26"/>
      <c r="K208" s="20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0"/>
      <c r="AC208" s="26"/>
      <c r="AD208" s="26"/>
      <c r="AE208" s="26"/>
      <c r="AF208" s="26"/>
      <c r="AG208" s="26"/>
      <c r="AH208" s="26"/>
      <c r="AI208" s="26"/>
      <c r="AJ208" s="26"/>
      <c r="AK208" s="20"/>
      <c r="AL208" s="26"/>
      <c r="AM208" s="20"/>
      <c r="AN208" s="26"/>
      <c r="AO208" s="26"/>
      <c r="AP208" s="26"/>
      <c r="AQ208" s="26"/>
      <c r="AR208" s="26"/>
      <c r="AS208" s="26"/>
      <c r="AT208" s="19"/>
      <c r="AU208" s="19"/>
      <c r="AV208" s="19"/>
      <c r="AW208" s="19"/>
      <c r="AX208" s="19"/>
    </row>
    <row r="209" spans="3:50" ht="11.25" customHeight="1"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19"/>
      <c r="AU209" s="19"/>
      <c r="AV209" s="19"/>
      <c r="AW209" s="19"/>
      <c r="AX209" s="19"/>
    </row>
    <row r="210" spans="3:50" ht="11.25" customHeight="1"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19"/>
      <c r="AU210" s="19"/>
      <c r="AV210" s="19"/>
      <c r="AW210" s="19"/>
      <c r="AX210" s="19"/>
    </row>
    <row r="211" spans="3:50" ht="11.25" customHeight="1">
      <c r="C211" s="20"/>
      <c r="D211" s="20"/>
      <c r="E211" s="20"/>
      <c r="F211" s="20"/>
      <c r="H211" s="20"/>
      <c r="I211" s="26"/>
      <c r="J211" s="20"/>
      <c r="K211" s="26"/>
      <c r="L211" s="20"/>
      <c r="M211" s="20"/>
      <c r="N211" s="20"/>
      <c r="O211" s="20"/>
      <c r="Q211" s="20"/>
      <c r="S211" s="20"/>
      <c r="U211" s="20"/>
      <c r="V211" s="20"/>
      <c r="W211" s="31"/>
      <c r="Y211" s="20"/>
      <c r="Z211" s="20"/>
      <c r="AB211" s="26"/>
      <c r="AD211" s="20"/>
      <c r="AE211" s="19"/>
      <c r="AF211" s="20"/>
      <c r="AG211" s="20"/>
      <c r="AH211" s="20"/>
      <c r="AI211" s="35"/>
      <c r="AJ211" s="20"/>
      <c r="AK211" s="26"/>
      <c r="AL211" s="20"/>
      <c r="AM211" s="26"/>
      <c r="AN211" s="20"/>
      <c r="AO211" s="20"/>
      <c r="AP211" s="20"/>
      <c r="AQ211" s="20"/>
      <c r="AR211" s="20"/>
      <c r="AS211" s="26"/>
      <c r="AT211" s="19"/>
      <c r="AU211" s="19"/>
      <c r="AV211" s="19"/>
      <c r="AW211" s="19"/>
      <c r="AX211" s="19"/>
    </row>
    <row r="212" spans="3:50" ht="11.25" customHeight="1">
      <c r="C212" s="20"/>
      <c r="D212" s="20"/>
      <c r="E212" s="20"/>
      <c r="F212" s="20"/>
      <c r="H212" s="20"/>
      <c r="I212" s="26"/>
      <c r="J212" s="20"/>
      <c r="K212" s="26"/>
      <c r="L212" s="20"/>
      <c r="M212" s="20"/>
      <c r="N212" s="20"/>
      <c r="O212" s="20"/>
      <c r="Q212" s="20"/>
      <c r="S212" s="20"/>
      <c r="U212" s="20"/>
      <c r="V212" s="20"/>
      <c r="W212" s="31"/>
      <c r="Y212" s="20"/>
      <c r="Z212" s="20"/>
      <c r="AB212" s="26"/>
      <c r="AD212" s="20"/>
      <c r="AE212" s="20"/>
      <c r="AF212" s="20"/>
      <c r="AG212" s="20"/>
      <c r="AH212" s="20"/>
      <c r="AI212" s="35"/>
      <c r="AJ212" s="20"/>
      <c r="AK212" s="26"/>
      <c r="AL212" s="20"/>
      <c r="AM212" s="26"/>
      <c r="AN212" s="20"/>
      <c r="AO212" s="20"/>
      <c r="AP212" s="20"/>
      <c r="AQ212" s="20"/>
      <c r="AR212" s="20"/>
      <c r="AS212" s="35"/>
      <c r="AT212" s="19"/>
      <c r="AU212" s="19"/>
      <c r="AV212" s="19"/>
      <c r="AW212" s="19"/>
      <c r="AX212" s="19"/>
    </row>
    <row r="213" spans="3:50" ht="11.25" customHeight="1">
      <c r="C213" s="26"/>
      <c r="D213" s="26"/>
      <c r="E213" s="26"/>
      <c r="F213" s="26"/>
      <c r="G213" s="26"/>
      <c r="H213" s="26"/>
      <c r="I213" s="26"/>
      <c r="J213" s="26"/>
      <c r="K213" s="20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0"/>
      <c r="AC213" s="26"/>
      <c r="AD213" s="26"/>
      <c r="AE213" s="26"/>
      <c r="AF213" s="26"/>
      <c r="AG213" s="26"/>
      <c r="AH213" s="26"/>
      <c r="AI213" s="26"/>
      <c r="AJ213" s="26"/>
      <c r="AK213" s="20"/>
      <c r="AL213" s="26"/>
      <c r="AM213" s="20"/>
      <c r="AN213" s="26"/>
      <c r="AO213" s="26"/>
      <c r="AP213" s="26"/>
      <c r="AQ213" s="26"/>
      <c r="AR213" s="26"/>
      <c r="AS213" s="26"/>
      <c r="AT213" s="19"/>
      <c r="AU213" s="19"/>
      <c r="AV213" s="19"/>
      <c r="AW213" s="19"/>
      <c r="AX213" s="19"/>
    </row>
    <row r="214" spans="3:50" ht="11.25" customHeight="1">
      <c r="C214" s="26"/>
      <c r="D214" s="26"/>
      <c r="E214" s="26"/>
      <c r="F214" s="26"/>
      <c r="G214" s="19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19"/>
      <c r="AU214" s="19"/>
      <c r="AV214" s="19"/>
      <c r="AW214" s="19"/>
      <c r="AX214" s="19"/>
    </row>
    <row r="215" spans="3:50" ht="11.25" customHeight="1">
      <c r="C215" s="26"/>
      <c r="D215" s="26"/>
      <c r="E215" s="26"/>
      <c r="F215" s="26"/>
      <c r="G215" s="26"/>
      <c r="H215" s="26"/>
      <c r="I215" s="26"/>
      <c r="J215" s="26"/>
      <c r="K215" s="20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0"/>
      <c r="AC215" s="26"/>
      <c r="AD215" s="26"/>
      <c r="AE215" s="26"/>
      <c r="AF215" s="26"/>
      <c r="AG215" s="26"/>
      <c r="AH215" s="26"/>
      <c r="AI215" s="26"/>
      <c r="AJ215" s="26"/>
      <c r="AK215" s="20"/>
      <c r="AL215" s="26"/>
      <c r="AM215" s="20"/>
      <c r="AN215" s="26"/>
      <c r="AO215" s="26"/>
      <c r="AP215" s="26"/>
      <c r="AQ215" s="26"/>
      <c r="AR215" s="26"/>
      <c r="AS215" s="26"/>
      <c r="AT215" s="19"/>
      <c r="AU215" s="19"/>
      <c r="AV215" s="19"/>
      <c r="AW215" s="19"/>
      <c r="AX215" s="19"/>
    </row>
    <row r="216" spans="3:50" ht="11.25" customHeight="1"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19"/>
      <c r="AU216" s="19"/>
      <c r="AV216" s="19"/>
      <c r="AW216" s="19"/>
      <c r="AX216" s="19"/>
    </row>
    <row r="217" spans="3:50" ht="11.25" customHeight="1">
      <c r="C217" s="20"/>
      <c r="D217" s="20"/>
      <c r="E217" s="20"/>
      <c r="F217" s="20"/>
      <c r="H217" s="20"/>
      <c r="I217" s="26"/>
      <c r="J217" s="20"/>
      <c r="K217" s="20"/>
      <c r="L217" s="20"/>
      <c r="M217" s="20"/>
      <c r="N217" s="20"/>
      <c r="O217" s="20"/>
      <c r="Q217" s="20"/>
      <c r="S217" s="20"/>
      <c r="U217" s="20"/>
      <c r="V217" s="20"/>
      <c r="W217" s="31"/>
      <c r="Y217" s="20"/>
      <c r="Z217" s="20"/>
      <c r="AB217" s="20"/>
      <c r="AD217" s="20"/>
      <c r="AE217" s="20"/>
      <c r="AF217" s="20"/>
      <c r="AG217" s="20"/>
      <c r="AH217" s="20"/>
      <c r="AI217" s="35"/>
      <c r="AJ217" s="20"/>
      <c r="AK217" s="20"/>
      <c r="AL217" s="20"/>
      <c r="AM217" s="20"/>
      <c r="AN217" s="20"/>
      <c r="AO217" s="20"/>
      <c r="AP217" s="20"/>
      <c r="AQ217" s="20"/>
      <c r="AR217" s="20"/>
      <c r="AS217" s="35"/>
      <c r="AT217" s="19"/>
      <c r="AU217" s="19"/>
      <c r="AV217" s="19"/>
      <c r="AW217" s="19"/>
      <c r="AX217" s="19"/>
    </row>
    <row r="218" spans="3:50" ht="11.25" customHeight="1">
      <c r="C218" s="26"/>
      <c r="D218" s="26"/>
      <c r="E218" s="26"/>
      <c r="F218" s="26"/>
      <c r="G218" s="26"/>
      <c r="H218" s="26"/>
      <c r="I218" s="26"/>
      <c r="J218" s="26"/>
      <c r="K218" s="20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0"/>
      <c r="AC218" s="26"/>
      <c r="AD218" s="26"/>
      <c r="AE218" s="26"/>
      <c r="AF218" s="26"/>
      <c r="AG218" s="26"/>
      <c r="AH218" s="26"/>
      <c r="AI218" s="26"/>
      <c r="AJ218" s="26"/>
      <c r="AK218" s="20"/>
      <c r="AL218" s="26"/>
      <c r="AM218" s="20"/>
      <c r="AN218" s="26"/>
      <c r="AO218" s="26"/>
      <c r="AP218" s="26"/>
      <c r="AQ218" s="26"/>
      <c r="AR218" s="26"/>
      <c r="AS218" s="19"/>
      <c r="AT218" s="19"/>
      <c r="AU218" s="19"/>
      <c r="AV218" s="19"/>
      <c r="AW218" s="19"/>
      <c r="AX218" s="28"/>
    </row>
    <row r="219" spans="3:50" ht="11.25" customHeight="1">
      <c r="C219" s="20"/>
      <c r="D219" s="20"/>
      <c r="E219" s="20"/>
      <c r="F219" s="20"/>
      <c r="H219" s="20"/>
      <c r="I219" s="26"/>
      <c r="J219" s="20"/>
      <c r="K219" s="19"/>
      <c r="L219" s="20"/>
      <c r="M219" s="20"/>
      <c r="N219" s="20"/>
      <c r="O219" s="20"/>
      <c r="Q219" s="20"/>
      <c r="S219" s="20"/>
      <c r="U219" s="20"/>
      <c r="V219" s="20"/>
      <c r="W219" s="31"/>
      <c r="Y219" s="20"/>
      <c r="Z219" s="20"/>
      <c r="AB219" s="19"/>
      <c r="AD219" s="20"/>
      <c r="AE219" s="20"/>
      <c r="AF219" s="20"/>
      <c r="AG219" s="20"/>
      <c r="AH219" s="20"/>
      <c r="AI219" s="35"/>
      <c r="AJ219" s="20"/>
      <c r="AK219" s="19"/>
      <c r="AL219" s="20"/>
      <c r="AM219" s="19"/>
      <c r="AN219" s="20"/>
      <c r="AO219" s="20"/>
      <c r="AP219" s="20"/>
      <c r="AQ219" s="20"/>
      <c r="AR219" s="20"/>
      <c r="AS219" s="35"/>
      <c r="AT219" s="19"/>
      <c r="AU219" s="19"/>
      <c r="AV219" s="19"/>
      <c r="AW219" s="19"/>
      <c r="AX219" s="19"/>
    </row>
    <row r="220" spans="3:50" ht="11.25" customHeight="1">
      <c r="C220" s="26"/>
      <c r="D220" s="26"/>
      <c r="E220" s="26"/>
      <c r="F220" s="26"/>
      <c r="G220" s="26"/>
      <c r="H220" s="26"/>
      <c r="I220" s="26"/>
      <c r="J220" s="26"/>
      <c r="K220" s="20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19"/>
      <c r="AC220" s="26"/>
      <c r="AD220" s="26"/>
      <c r="AE220" s="26"/>
      <c r="AF220" s="26"/>
      <c r="AG220" s="26"/>
      <c r="AH220" s="26"/>
      <c r="AI220" s="26"/>
      <c r="AJ220" s="26"/>
      <c r="AK220" s="20"/>
      <c r="AL220" s="26"/>
      <c r="AM220" s="20"/>
      <c r="AN220" s="26"/>
      <c r="AO220" s="26"/>
      <c r="AP220" s="26"/>
      <c r="AQ220" s="26"/>
      <c r="AR220" s="26"/>
      <c r="AS220" s="26"/>
      <c r="AT220" s="19"/>
      <c r="AU220" s="28"/>
      <c r="AV220" s="19"/>
      <c r="AW220" s="19"/>
      <c r="AX220" s="19"/>
    </row>
    <row r="221" spans="3:50" ht="11.25" customHeight="1">
      <c r="C221" s="20"/>
      <c r="D221" s="20"/>
      <c r="E221" s="20"/>
      <c r="F221" s="20"/>
      <c r="H221" s="20"/>
      <c r="I221" s="26"/>
      <c r="J221" s="20"/>
      <c r="K221" s="20"/>
      <c r="L221" s="20"/>
      <c r="M221" s="20"/>
      <c r="N221" s="20"/>
      <c r="O221" s="20"/>
      <c r="Q221" s="20"/>
      <c r="S221" s="20"/>
      <c r="U221" s="20"/>
      <c r="V221" s="20"/>
      <c r="W221" s="31"/>
      <c r="Y221" s="20"/>
      <c r="Z221" s="20"/>
      <c r="AB221" s="20"/>
      <c r="AD221" s="20"/>
      <c r="AE221" s="20"/>
      <c r="AF221" s="20"/>
      <c r="AG221" s="20"/>
      <c r="AH221" s="20"/>
      <c r="AI221" s="35"/>
      <c r="AJ221" s="20"/>
      <c r="AK221" s="20"/>
      <c r="AL221" s="20"/>
      <c r="AM221" s="20"/>
      <c r="AN221" s="20"/>
      <c r="AO221" s="20"/>
      <c r="AP221" s="20"/>
      <c r="AQ221" s="20"/>
      <c r="AR221" s="20"/>
      <c r="AS221" s="35"/>
      <c r="AT221" s="19"/>
      <c r="AU221" s="19"/>
      <c r="AV221" s="19"/>
      <c r="AW221" s="19"/>
      <c r="AX221" s="19"/>
    </row>
    <row r="222" spans="3:50" ht="11.25" customHeight="1">
      <c r="C222" s="20"/>
      <c r="D222" s="20"/>
      <c r="E222" s="20"/>
      <c r="F222" s="20"/>
      <c r="H222" s="20"/>
      <c r="I222" s="26"/>
      <c r="J222" s="20"/>
      <c r="K222" s="26"/>
      <c r="L222" s="20"/>
      <c r="M222" s="20"/>
      <c r="N222" s="20"/>
      <c r="O222" s="20"/>
      <c r="Q222" s="20"/>
      <c r="S222" s="20"/>
      <c r="U222" s="20"/>
      <c r="V222" s="20"/>
      <c r="W222" s="31"/>
      <c r="Y222" s="20"/>
      <c r="Z222" s="20"/>
      <c r="AB222" s="20"/>
      <c r="AD222" s="20"/>
      <c r="AE222" s="20"/>
      <c r="AF222" s="20"/>
      <c r="AG222" s="20"/>
      <c r="AH222" s="20"/>
      <c r="AI222" s="35"/>
      <c r="AJ222" s="20"/>
      <c r="AK222" s="20"/>
      <c r="AL222" s="20"/>
      <c r="AM222" s="20"/>
      <c r="AN222" s="20"/>
      <c r="AO222" s="20"/>
      <c r="AP222" s="20"/>
      <c r="AQ222" s="20"/>
      <c r="AR222" s="20"/>
      <c r="AS222" s="35"/>
      <c r="AT222" s="19"/>
      <c r="AU222" s="19"/>
      <c r="AV222" s="19"/>
      <c r="AW222" s="19"/>
      <c r="AX222" s="19"/>
    </row>
    <row r="223" spans="3:50" ht="11.25" customHeight="1">
      <c r="C223" s="19"/>
      <c r="D223" s="19"/>
      <c r="E223" s="19"/>
      <c r="F223" s="19"/>
      <c r="G223" s="19"/>
      <c r="H223" s="19"/>
      <c r="I223" s="26"/>
      <c r="J223" s="19"/>
      <c r="K223" s="26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20"/>
      <c r="AC223" s="19"/>
      <c r="AD223" s="19"/>
      <c r="AE223" s="19"/>
      <c r="AF223" s="19"/>
      <c r="AG223" s="19"/>
      <c r="AH223" s="19"/>
      <c r="AI223" s="19"/>
      <c r="AJ223" s="19"/>
      <c r="AK223" s="20"/>
      <c r="AL223" s="19"/>
      <c r="AM223" s="20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</row>
    <row r="224" spans="3:50" ht="11.25" customHeight="1">
      <c r="C224" s="20"/>
      <c r="D224" s="20"/>
      <c r="E224" s="20"/>
      <c r="F224" s="20"/>
      <c r="H224" s="20"/>
      <c r="I224" s="26"/>
      <c r="J224" s="20"/>
      <c r="K224" s="26"/>
      <c r="L224" s="20"/>
      <c r="M224" s="20"/>
      <c r="N224" s="20"/>
      <c r="O224" s="20"/>
      <c r="Q224" s="20"/>
      <c r="S224" s="20"/>
      <c r="U224" s="20"/>
      <c r="V224" s="20"/>
      <c r="W224" s="31"/>
      <c r="Y224" s="20"/>
      <c r="Z224" s="20"/>
      <c r="AB224" s="20"/>
      <c r="AD224" s="20"/>
      <c r="AE224" s="19"/>
      <c r="AF224" s="20"/>
      <c r="AG224" s="20"/>
      <c r="AH224" s="20"/>
      <c r="AI224" s="35"/>
      <c r="AJ224" s="20"/>
      <c r="AK224" s="20"/>
      <c r="AL224" s="20"/>
      <c r="AM224" s="20"/>
      <c r="AN224" s="20"/>
      <c r="AO224" s="20"/>
      <c r="AP224" s="20"/>
      <c r="AQ224" s="20"/>
      <c r="AR224" s="20"/>
      <c r="AS224" s="35"/>
      <c r="AT224" s="19"/>
      <c r="AU224" s="19"/>
      <c r="AV224" s="19"/>
      <c r="AW224" s="19"/>
      <c r="AX224" s="19"/>
    </row>
    <row r="225" spans="3:50" ht="11.25" customHeight="1">
      <c r="C225" s="20"/>
      <c r="D225" s="20"/>
      <c r="E225" s="20"/>
      <c r="F225" s="20"/>
      <c r="H225" s="20"/>
      <c r="I225" s="26"/>
      <c r="J225" s="20"/>
      <c r="K225" s="26"/>
      <c r="L225" s="20"/>
      <c r="M225" s="20"/>
      <c r="N225" s="20"/>
      <c r="O225" s="20"/>
      <c r="Q225" s="20"/>
      <c r="S225" s="20"/>
      <c r="U225" s="20"/>
      <c r="V225" s="20"/>
      <c r="W225" s="31"/>
      <c r="Y225" s="20"/>
      <c r="Z225" s="20"/>
      <c r="AB225" s="26"/>
      <c r="AD225" s="20"/>
      <c r="AE225" s="20"/>
      <c r="AF225" s="20"/>
      <c r="AG225" s="20"/>
      <c r="AH225" s="20"/>
      <c r="AI225" s="35"/>
      <c r="AJ225" s="20"/>
      <c r="AK225" s="26"/>
      <c r="AL225" s="20"/>
      <c r="AM225" s="26"/>
      <c r="AN225" s="20"/>
      <c r="AO225" s="20"/>
      <c r="AP225" s="20"/>
      <c r="AQ225" s="20"/>
      <c r="AR225" s="20"/>
      <c r="AS225" s="35"/>
      <c r="AT225" s="19"/>
      <c r="AU225" s="19"/>
      <c r="AV225" s="19"/>
      <c r="AW225" s="19"/>
      <c r="AX225" s="19"/>
    </row>
    <row r="226" spans="3:50" ht="11.25" customHeight="1"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19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19"/>
      <c r="AU226" s="19"/>
      <c r="AV226" s="19"/>
      <c r="AW226" s="19"/>
      <c r="AX226" s="19"/>
    </row>
    <row r="227" spans="3:50" ht="11.25" customHeight="1">
      <c r="C227" s="26"/>
      <c r="D227" s="26"/>
      <c r="E227" s="26"/>
      <c r="F227" s="26"/>
      <c r="G227" s="26"/>
      <c r="H227" s="26"/>
      <c r="I227" s="26"/>
      <c r="J227" s="26"/>
      <c r="K227" s="20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0"/>
      <c r="AC227" s="19"/>
      <c r="AD227" s="26"/>
      <c r="AE227" s="26"/>
      <c r="AF227" s="26"/>
      <c r="AG227" s="26"/>
      <c r="AH227" s="26"/>
      <c r="AI227" s="26"/>
      <c r="AJ227" s="26"/>
      <c r="AK227" s="20"/>
      <c r="AL227" s="26"/>
      <c r="AM227" s="20"/>
      <c r="AN227" s="26"/>
      <c r="AO227" s="26"/>
      <c r="AP227" s="26"/>
      <c r="AQ227" s="26"/>
      <c r="AR227" s="26"/>
      <c r="AS227" s="26"/>
      <c r="AT227" s="19"/>
      <c r="AU227" s="19"/>
      <c r="AV227" s="19"/>
      <c r="AW227" s="19"/>
      <c r="AX227" s="19"/>
    </row>
    <row r="228" spans="3:50" ht="11.25" customHeight="1">
      <c r="C228" s="26"/>
      <c r="D228" s="26"/>
      <c r="E228" s="26"/>
      <c r="F228" s="26"/>
      <c r="G228" s="26"/>
      <c r="H228" s="26"/>
      <c r="I228" s="26"/>
      <c r="J228" s="26"/>
      <c r="K228" s="19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19"/>
      <c r="AC228" s="19"/>
      <c r="AD228" s="26"/>
      <c r="AE228" s="26"/>
      <c r="AF228" s="26"/>
      <c r="AG228" s="26"/>
      <c r="AH228" s="26"/>
      <c r="AI228" s="26"/>
      <c r="AJ228" s="26"/>
      <c r="AK228" s="19"/>
      <c r="AL228" s="26"/>
      <c r="AM228" s="19"/>
      <c r="AN228" s="26"/>
      <c r="AO228" s="26"/>
      <c r="AP228" s="26"/>
      <c r="AQ228" s="26"/>
      <c r="AR228" s="26"/>
      <c r="AS228" s="26"/>
      <c r="AT228" s="19"/>
      <c r="AU228" s="19"/>
      <c r="AV228" s="19"/>
      <c r="AW228" s="19"/>
      <c r="AX228" s="19"/>
    </row>
    <row r="229" spans="3:50" ht="11.25" customHeight="1">
      <c r="C229" s="26"/>
      <c r="D229" s="26"/>
      <c r="E229" s="26"/>
      <c r="F229" s="26"/>
      <c r="G229" s="26"/>
      <c r="H229" s="26"/>
      <c r="I229" s="26"/>
      <c r="J229" s="26"/>
      <c r="K229" s="20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19"/>
      <c r="Y229" s="26"/>
      <c r="Z229" s="26"/>
      <c r="AA229" s="26"/>
      <c r="AB229" s="20"/>
      <c r="AC229" s="19"/>
      <c r="AD229" s="26"/>
      <c r="AE229" s="26"/>
      <c r="AF229" s="26"/>
      <c r="AG229" s="26"/>
      <c r="AH229" s="26"/>
      <c r="AI229" s="26"/>
      <c r="AJ229" s="26"/>
      <c r="AK229" s="20"/>
      <c r="AL229" s="26"/>
      <c r="AM229" s="20"/>
      <c r="AN229" s="26"/>
      <c r="AO229" s="26"/>
      <c r="AP229" s="26"/>
      <c r="AQ229" s="26"/>
      <c r="AR229" s="26"/>
      <c r="AS229" s="26"/>
      <c r="AT229" s="19"/>
      <c r="AU229" s="19"/>
      <c r="AV229" s="19"/>
      <c r="AW229" s="19"/>
      <c r="AX229" s="19"/>
    </row>
    <row r="230" spans="3:50" ht="11.25" customHeight="1"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19"/>
      <c r="AU230" s="19"/>
      <c r="AV230" s="19"/>
      <c r="AW230" s="19"/>
      <c r="AX230" s="19"/>
    </row>
    <row r="231" spans="3:50" ht="11.25" customHeight="1">
      <c r="C231" s="20"/>
      <c r="D231" s="20"/>
      <c r="E231" s="20"/>
      <c r="F231" s="20"/>
      <c r="H231" s="20"/>
      <c r="I231" s="26"/>
      <c r="J231" s="20"/>
      <c r="K231" s="20"/>
      <c r="L231" s="20"/>
      <c r="M231" s="20"/>
      <c r="N231" s="20"/>
      <c r="O231" s="20"/>
      <c r="Q231" s="20"/>
      <c r="S231" s="20"/>
      <c r="U231" s="20"/>
      <c r="V231" s="20"/>
      <c r="W231" s="31"/>
      <c r="X231" s="19"/>
      <c r="Y231" s="20"/>
      <c r="Z231" s="20"/>
      <c r="AB231" s="20"/>
      <c r="AD231" s="20"/>
      <c r="AE231" s="20"/>
      <c r="AF231" s="20"/>
      <c r="AG231" s="20"/>
      <c r="AH231" s="20"/>
      <c r="AI231" s="35"/>
      <c r="AJ231" s="20"/>
      <c r="AK231" s="20"/>
      <c r="AL231" s="20"/>
      <c r="AM231" s="20"/>
      <c r="AN231" s="20"/>
      <c r="AO231" s="20"/>
      <c r="AP231" s="20"/>
      <c r="AQ231" s="20"/>
      <c r="AR231" s="20"/>
      <c r="AS231" s="26"/>
      <c r="AT231" s="19"/>
      <c r="AU231" s="19"/>
      <c r="AV231" s="19"/>
      <c r="AW231" s="19"/>
      <c r="AX231" s="19"/>
    </row>
    <row r="232" spans="3:50" ht="11.25" customHeight="1">
      <c r="C232" s="19"/>
      <c r="D232" s="19"/>
      <c r="E232" s="19"/>
      <c r="F232" s="19"/>
      <c r="G232" s="19"/>
      <c r="H232" s="19"/>
      <c r="I232" s="26"/>
      <c r="J232" s="19"/>
      <c r="K232" s="34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Y232" s="19"/>
      <c r="Z232" s="19"/>
      <c r="AA232" s="19"/>
      <c r="AB232" s="34"/>
      <c r="AC232" s="19"/>
      <c r="AD232" s="19"/>
      <c r="AE232" s="19"/>
      <c r="AF232" s="19"/>
      <c r="AG232" s="19"/>
      <c r="AH232" s="19"/>
      <c r="AI232" s="19"/>
      <c r="AJ232" s="26"/>
      <c r="AK232" s="34"/>
      <c r="AL232" s="19"/>
      <c r="AM232" s="34"/>
      <c r="AN232" s="19"/>
      <c r="AO232" s="19"/>
      <c r="AP232" s="19"/>
      <c r="AQ232" s="19"/>
      <c r="AR232" s="19"/>
      <c r="AS232" s="26"/>
      <c r="AT232" s="19"/>
      <c r="AU232" s="19"/>
      <c r="AV232" s="19"/>
      <c r="AW232" s="19"/>
      <c r="AX232" s="28"/>
    </row>
    <row r="233" spans="3:50" ht="11.25" customHeight="1">
      <c r="C233" s="20"/>
      <c r="D233" s="20"/>
      <c r="E233" s="20"/>
      <c r="F233" s="20"/>
      <c r="H233" s="20"/>
      <c r="I233" s="26"/>
      <c r="J233" s="20"/>
      <c r="K233" s="19"/>
      <c r="L233" s="20"/>
      <c r="M233" s="20"/>
      <c r="N233" s="20"/>
      <c r="O233" s="20"/>
      <c r="Q233" s="20"/>
      <c r="S233" s="20"/>
      <c r="U233" s="20"/>
      <c r="V233" s="20"/>
      <c r="W233" s="31"/>
      <c r="X233" s="28"/>
      <c r="Y233" s="20"/>
      <c r="Z233" s="20"/>
      <c r="AD233" s="20"/>
      <c r="AE233" s="20"/>
      <c r="AF233" s="20"/>
      <c r="AG233" s="20"/>
      <c r="AH233" s="20"/>
      <c r="AI233" s="35"/>
      <c r="AJ233" s="20"/>
      <c r="AK233" s="19"/>
      <c r="AL233" s="20"/>
      <c r="AM233" s="19"/>
      <c r="AN233" s="20"/>
      <c r="AO233" s="20"/>
      <c r="AP233" s="20"/>
      <c r="AQ233" s="20"/>
      <c r="AR233" s="20"/>
      <c r="AS233" s="26"/>
      <c r="AT233" s="19"/>
      <c r="AU233" s="19"/>
      <c r="AV233" s="19"/>
      <c r="AW233" s="19"/>
      <c r="AX233" s="19"/>
    </row>
    <row r="234" spans="3:50" ht="11.25" customHeight="1">
      <c r="C234" s="26"/>
      <c r="D234" s="26"/>
      <c r="E234" s="26"/>
      <c r="F234" s="26"/>
      <c r="G234" s="26"/>
      <c r="H234" s="26"/>
      <c r="I234" s="26"/>
      <c r="J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C234" s="26"/>
      <c r="AD234" s="26"/>
      <c r="AE234" s="26"/>
      <c r="AF234" s="26"/>
      <c r="AG234" s="26"/>
      <c r="AH234" s="26"/>
      <c r="AI234" s="26"/>
      <c r="AJ234" s="26"/>
      <c r="AL234" s="26"/>
      <c r="AN234" s="26"/>
      <c r="AO234" s="26"/>
      <c r="AP234" s="26"/>
      <c r="AQ234" s="26"/>
      <c r="AR234" s="26"/>
      <c r="AS234" s="26"/>
      <c r="AT234" s="19"/>
      <c r="AU234" s="28"/>
      <c r="AV234" s="19"/>
      <c r="AW234" s="19"/>
      <c r="AX234" s="28"/>
    </row>
    <row r="235" spans="3:50" ht="11.25" customHeight="1">
      <c r="C235" s="20"/>
      <c r="D235" s="20"/>
      <c r="E235" s="20"/>
      <c r="F235" s="20"/>
      <c r="G235" s="19"/>
      <c r="H235" s="20"/>
      <c r="I235" s="26"/>
      <c r="J235" s="20"/>
      <c r="K235" s="19"/>
      <c r="L235" s="20"/>
      <c r="M235" s="20"/>
      <c r="N235" s="20"/>
      <c r="O235" s="20"/>
      <c r="P235" s="19"/>
      <c r="Q235" s="20"/>
      <c r="R235" s="19"/>
      <c r="S235" s="20"/>
      <c r="U235" s="20"/>
      <c r="V235" s="20"/>
      <c r="W235" s="31"/>
      <c r="X235" s="28"/>
      <c r="Y235" s="20"/>
      <c r="Z235" s="20"/>
      <c r="AA235" s="19"/>
      <c r="AB235" s="29"/>
      <c r="AD235" s="20"/>
      <c r="AE235" s="20"/>
      <c r="AF235" s="20"/>
      <c r="AG235" s="20"/>
      <c r="AH235" s="20"/>
      <c r="AI235" s="35"/>
      <c r="AJ235" s="20"/>
      <c r="AK235" s="29"/>
      <c r="AL235" s="20"/>
      <c r="AN235" s="20"/>
      <c r="AO235" s="20"/>
      <c r="AP235" s="20"/>
      <c r="AQ235" s="20"/>
      <c r="AR235" s="20"/>
      <c r="AS235" s="35"/>
      <c r="AT235" s="19"/>
      <c r="AU235" s="19"/>
      <c r="AV235" s="19"/>
      <c r="AW235" s="19"/>
      <c r="AX235" s="19"/>
    </row>
    <row r="236" spans="3:49" ht="11.25" customHeight="1">
      <c r="C236" s="34"/>
      <c r="D236" s="34"/>
      <c r="E236" s="34"/>
      <c r="F236" s="34"/>
      <c r="G236" s="34"/>
      <c r="H236" s="34"/>
      <c r="I236" s="34"/>
      <c r="J236" s="34"/>
      <c r="K236" s="26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26"/>
      <c r="AC236" s="34"/>
      <c r="AD236" s="34"/>
      <c r="AE236" s="34"/>
      <c r="AF236" s="34"/>
      <c r="AG236" s="34"/>
      <c r="AH236" s="34"/>
      <c r="AI236" s="34"/>
      <c r="AJ236" s="34"/>
      <c r="AK236" s="26"/>
      <c r="AL236" s="34"/>
      <c r="AM236" s="26"/>
      <c r="AN236" s="34"/>
      <c r="AO236" s="34"/>
      <c r="AP236" s="34"/>
      <c r="AQ236" s="34"/>
      <c r="AR236" s="34"/>
      <c r="AS236" s="34"/>
      <c r="AT236" s="28"/>
      <c r="AU236" s="28"/>
      <c r="AV236" s="28"/>
      <c r="AW236" s="28"/>
    </row>
    <row r="237" spans="3:50" ht="11.25" customHeight="1">
      <c r="C237" s="19"/>
      <c r="D237" s="19"/>
      <c r="E237" s="19"/>
      <c r="F237" s="19"/>
      <c r="G237" s="19"/>
      <c r="H237" s="19"/>
      <c r="I237" s="19"/>
      <c r="J237" s="19"/>
      <c r="K237" s="26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Y237" s="19"/>
      <c r="Z237" s="19"/>
      <c r="AA237" s="19"/>
      <c r="AB237" s="26"/>
      <c r="AD237" s="19"/>
      <c r="AF237" s="19"/>
      <c r="AG237" s="19"/>
      <c r="AH237" s="19"/>
      <c r="AI237" s="19"/>
      <c r="AJ237" s="19"/>
      <c r="AK237" s="26"/>
      <c r="AL237" s="19"/>
      <c r="AM237" s="26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</row>
    <row r="238" spans="11:50" ht="11.25" customHeight="1">
      <c r="K238" s="26"/>
      <c r="AB238" s="26"/>
      <c r="AK238" s="26"/>
      <c r="AM238" s="26"/>
      <c r="AV238" s="19"/>
      <c r="AW238" s="19"/>
      <c r="AX238" s="26"/>
    </row>
    <row r="239" spans="3:50" ht="11.25" customHeight="1">
      <c r="C239" s="29"/>
      <c r="D239" s="19"/>
      <c r="E239" s="19"/>
      <c r="F239" s="29"/>
      <c r="G239" s="19"/>
      <c r="H239" s="19"/>
      <c r="I239" s="29"/>
      <c r="J239" s="19"/>
      <c r="K239" s="26"/>
      <c r="L239" s="19"/>
      <c r="M239" s="19"/>
      <c r="N239" s="29"/>
      <c r="O239" s="19"/>
      <c r="P239" s="19"/>
      <c r="Q239" s="29"/>
      <c r="T239" s="19"/>
      <c r="V239" s="19"/>
      <c r="W239" s="19"/>
      <c r="X239" s="19"/>
      <c r="Y239" s="19"/>
      <c r="Z239" s="19"/>
      <c r="AA239" s="19"/>
      <c r="AB239" s="26"/>
      <c r="AC239" s="19"/>
      <c r="AD239" s="19"/>
      <c r="AE239" s="19"/>
      <c r="AF239" s="19"/>
      <c r="AG239" s="19"/>
      <c r="AH239" s="19"/>
      <c r="AI239" s="19"/>
      <c r="AK239" s="26"/>
      <c r="AM239" s="26"/>
      <c r="AN239" s="19"/>
      <c r="AO239" s="19"/>
      <c r="AP239" s="29"/>
      <c r="AQ239" s="29"/>
      <c r="AR239" s="19"/>
      <c r="AT239" s="19"/>
      <c r="AU239" s="19"/>
      <c r="AV239" s="19"/>
      <c r="AW239" s="19"/>
      <c r="AX239" s="26"/>
    </row>
    <row r="240" spans="3:50" ht="11.25" customHeight="1"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19"/>
      <c r="AT240" s="19"/>
      <c r="AU240" s="19"/>
      <c r="AV240" s="19"/>
      <c r="AW240" s="19"/>
      <c r="AX240" s="26"/>
    </row>
    <row r="241" spans="3:50" ht="11.25" customHeight="1"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19"/>
      <c r="AT241" s="19"/>
      <c r="AU241" s="19"/>
      <c r="AV241" s="19"/>
      <c r="AW241" s="19"/>
      <c r="AX241" s="26"/>
    </row>
    <row r="242" spans="3:50" ht="11.25" customHeight="1">
      <c r="C242" s="26"/>
      <c r="D242" s="26"/>
      <c r="E242" s="26"/>
      <c r="F242" s="26"/>
      <c r="G242" s="26"/>
      <c r="H242" s="26"/>
      <c r="I242" s="20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19"/>
      <c r="AT242" s="19"/>
      <c r="AU242" s="19"/>
      <c r="AV242" s="19"/>
      <c r="AW242" s="19"/>
      <c r="AX242" s="26"/>
    </row>
    <row r="243" spans="3:50" ht="11.25" customHeight="1"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19"/>
      <c r="AT243" s="19"/>
      <c r="AU243" s="19"/>
      <c r="AV243" s="19"/>
      <c r="AW243" s="19"/>
      <c r="AX243" s="26"/>
    </row>
    <row r="244" spans="3:50" ht="11.25" customHeight="1"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19"/>
      <c r="AT244" s="19"/>
      <c r="AU244" s="19"/>
      <c r="AV244" s="19"/>
      <c r="AW244" s="19"/>
      <c r="AX244" s="26"/>
    </row>
    <row r="245" spans="3:50" ht="11.25" customHeight="1"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19"/>
      <c r="AT245" s="19"/>
      <c r="AU245" s="19"/>
      <c r="AV245" s="19"/>
      <c r="AW245" s="19"/>
      <c r="AX245" s="26"/>
    </row>
    <row r="246" spans="3:50" ht="11.25" customHeight="1">
      <c r="C246" s="26"/>
      <c r="D246" s="26"/>
      <c r="E246" s="26"/>
      <c r="F246" s="26"/>
      <c r="G246" s="26"/>
      <c r="H246" s="26"/>
      <c r="I246" s="26"/>
      <c r="J246" s="26"/>
      <c r="K246" s="20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0"/>
      <c r="AC246" s="26"/>
      <c r="AD246" s="26"/>
      <c r="AE246" s="26"/>
      <c r="AF246" s="26"/>
      <c r="AG246" s="26"/>
      <c r="AH246" s="26"/>
      <c r="AI246" s="26"/>
      <c r="AJ246" s="26"/>
      <c r="AK246" s="20"/>
      <c r="AL246" s="26"/>
      <c r="AM246" s="20"/>
      <c r="AN246" s="26"/>
      <c r="AO246" s="26"/>
      <c r="AP246" s="26"/>
      <c r="AQ246" s="26"/>
      <c r="AR246" s="26"/>
      <c r="AS246" s="19"/>
      <c r="AT246" s="19"/>
      <c r="AU246" s="19"/>
      <c r="AV246" s="19"/>
      <c r="AW246" s="19"/>
      <c r="AX246" s="26"/>
    </row>
    <row r="247" spans="3:50" ht="11.25" customHeight="1"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19"/>
      <c r="AT247" s="19"/>
      <c r="AU247" s="19"/>
      <c r="AV247" s="19"/>
      <c r="AW247" s="19"/>
      <c r="AX247" s="26"/>
    </row>
    <row r="248" spans="3:50" ht="11.25" customHeight="1"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19"/>
      <c r="AT248" s="19"/>
      <c r="AU248" s="19"/>
      <c r="AV248" s="19"/>
      <c r="AW248" s="19"/>
      <c r="AX248" s="26"/>
    </row>
    <row r="249" spans="3:50" ht="11.25" customHeight="1"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19"/>
      <c r="AU249" s="19"/>
      <c r="AV249" s="19"/>
      <c r="AW249" s="19"/>
      <c r="AX249" s="26"/>
    </row>
    <row r="250" spans="3:50" ht="11.25" customHeight="1">
      <c r="C250" s="20"/>
      <c r="E250" s="20"/>
      <c r="F250" s="20"/>
      <c r="G250" s="20"/>
      <c r="H250" s="20"/>
      <c r="I250" s="26"/>
      <c r="J250" s="20"/>
      <c r="K250" s="26"/>
      <c r="L250" s="20"/>
      <c r="M250" s="20"/>
      <c r="N250" s="20"/>
      <c r="O250" s="20"/>
      <c r="P250" s="20"/>
      <c r="Q250" s="20"/>
      <c r="R250" s="20"/>
      <c r="S250" s="20"/>
      <c r="U250" s="20"/>
      <c r="V250" s="20"/>
      <c r="W250" s="31"/>
      <c r="Y250" s="20"/>
      <c r="Z250" s="20"/>
      <c r="AA250" s="20"/>
      <c r="AB250" s="26"/>
      <c r="AD250" s="20"/>
      <c r="AE250" s="20"/>
      <c r="AF250" s="20"/>
      <c r="AG250" s="20"/>
      <c r="AH250" s="20"/>
      <c r="AI250" s="35"/>
      <c r="AJ250" s="20"/>
      <c r="AK250" s="26"/>
      <c r="AL250" s="20"/>
      <c r="AM250" s="26"/>
      <c r="AN250" s="20"/>
      <c r="AO250" s="20"/>
      <c r="AP250" s="20"/>
      <c r="AQ250" s="20"/>
      <c r="AR250" s="20"/>
      <c r="AS250" s="35"/>
      <c r="AT250" s="19"/>
      <c r="AU250" s="19"/>
      <c r="AV250" s="19"/>
      <c r="AW250" s="19"/>
      <c r="AX250" s="26"/>
    </row>
    <row r="251" spans="3:50" ht="11.25" customHeight="1"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35"/>
      <c r="AT251" s="19"/>
      <c r="AU251" s="19"/>
      <c r="AV251" s="19"/>
      <c r="AW251" s="19"/>
      <c r="AX251" s="26"/>
    </row>
    <row r="252" spans="3:50" ht="11.25" customHeight="1"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19"/>
      <c r="AU252" s="19"/>
      <c r="AV252" s="19"/>
      <c r="AW252" s="19"/>
      <c r="AX252" s="26"/>
    </row>
    <row r="253" spans="3:50" ht="11.25" customHeight="1"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19"/>
      <c r="AT253" s="19"/>
      <c r="AU253" s="19"/>
      <c r="AV253" s="19"/>
      <c r="AW253" s="19"/>
      <c r="AX253" s="26"/>
    </row>
    <row r="254" spans="3:50" ht="11.25" customHeight="1"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19"/>
      <c r="AT254" s="19"/>
      <c r="AU254" s="19"/>
      <c r="AV254" s="19"/>
      <c r="AW254" s="19"/>
      <c r="AX254" s="26"/>
    </row>
    <row r="255" spans="3:50" ht="11.25" customHeight="1"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35"/>
      <c r="AT255" s="19"/>
      <c r="AU255" s="19"/>
      <c r="AV255" s="19"/>
      <c r="AW255" s="19"/>
      <c r="AX255" s="26"/>
    </row>
    <row r="256" spans="3:50" ht="11.25" customHeight="1">
      <c r="C256" s="26"/>
      <c r="D256" s="26"/>
      <c r="E256" s="26"/>
      <c r="F256" s="26"/>
      <c r="G256" s="26"/>
      <c r="H256" s="26"/>
      <c r="I256" s="20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19"/>
      <c r="AT256" s="19"/>
      <c r="AU256" s="19"/>
      <c r="AV256" s="19"/>
      <c r="AW256" s="19"/>
      <c r="AX256" s="26"/>
    </row>
    <row r="257" spans="3:50" ht="11.25" customHeight="1">
      <c r="C257" s="26"/>
      <c r="D257" s="26"/>
      <c r="E257" s="26"/>
      <c r="F257" s="26"/>
      <c r="G257" s="26"/>
      <c r="H257" s="26"/>
      <c r="I257" s="26"/>
      <c r="J257" s="26"/>
      <c r="K257" s="20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0"/>
      <c r="AC257" s="26"/>
      <c r="AD257" s="26"/>
      <c r="AE257" s="26"/>
      <c r="AF257" s="26"/>
      <c r="AG257" s="26"/>
      <c r="AH257" s="26"/>
      <c r="AI257" s="26"/>
      <c r="AJ257" s="26"/>
      <c r="AK257" s="20"/>
      <c r="AL257" s="26"/>
      <c r="AM257" s="20"/>
      <c r="AN257" s="26"/>
      <c r="AO257" s="26"/>
      <c r="AP257" s="26"/>
      <c r="AQ257" s="26"/>
      <c r="AR257" s="26"/>
      <c r="AS257" s="26"/>
      <c r="AT257" s="19"/>
      <c r="AU257" s="19"/>
      <c r="AV257" s="19"/>
      <c r="AW257" s="19"/>
      <c r="AX257" s="26"/>
    </row>
    <row r="258" spans="3:50" ht="11.25" customHeight="1">
      <c r="C258" s="26"/>
      <c r="D258" s="26"/>
      <c r="E258" s="26"/>
      <c r="F258" s="26"/>
      <c r="G258" s="26"/>
      <c r="H258" s="26"/>
      <c r="I258" s="26"/>
      <c r="J258" s="26"/>
      <c r="K258" s="20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0"/>
      <c r="AD258" s="26"/>
      <c r="AE258" s="26"/>
      <c r="AF258" s="26"/>
      <c r="AG258" s="26"/>
      <c r="AH258" s="26"/>
      <c r="AI258" s="26"/>
      <c r="AJ258" s="26"/>
      <c r="AK258" s="20"/>
      <c r="AL258" s="26"/>
      <c r="AM258" s="20"/>
      <c r="AN258" s="26"/>
      <c r="AO258" s="26"/>
      <c r="AP258" s="26"/>
      <c r="AQ258" s="26"/>
      <c r="AR258" s="26"/>
      <c r="AS258" s="26"/>
      <c r="AT258" s="19"/>
      <c r="AU258" s="19"/>
      <c r="AV258" s="19"/>
      <c r="AW258" s="19"/>
      <c r="AX258" s="26"/>
    </row>
    <row r="259" spans="3:50" ht="11.25" customHeight="1"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19"/>
      <c r="AU259" s="19"/>
      <c r="AV259" s="19"/>
      <c r="AW259" s="19"/>
      <c r="AX259" s="26"/>
    </row>
    <row r="260" spans="3:50" ht="11.25" customHeight="1"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19"/>
      <c r="AU260" s="19"/>
      <c r="AV260" s="19"/>
      <c r="AW260" s="19"/>
      <c r="AX260" s="26"/>
    </row>
    <row r="261" spans="3:50" ht="11.25" customHeight="1">
      <c r="C261" s="20"/>
      <c r="E261" s="20"/>
      <c r="F261" s="20"/>
      <c r="G261" s="20"/>
      <c r="H261" s="20"/>
      <c r="I261" s="26"/>
      <c r="J261" s="20"/>
      <c r="K261" s="26"/>
      <c r="L261" s="20"/>
      <c r="M261" s="20"/>
      <c r="N261" s="20"/>
      <c r="O261" s="20"/>
      <c r="P261" s="20"/>
      <c r="Q261" s="20"/>
      <c r="R261" s="20"/>
      <c r="S261" s="20"/>
      <c r="U261" s="20"/>
      <c r="V261" s="20"/>
      <c r="W261" s="31"/>
      <c r="Y261" s="20"/>
      <c r="Z261" s="20"/>
      <c r="AA261" s="20"/>
      <c r="AB261" s="26"/>
      <c r="AD261" s="20"/>
      <c r="AE261" s="20"/>
      <c r="AF261" s="20"/>
      <c r="AG261" s="20"/>
      <c r="AH261" s="20"/>
      <c r="AI261" s="35"/>
      <c r="AJ261" s="20"/>
      <c r="AK261" s="26"/>
      <c r="AL261" s="20"/>
      <c r="AM261" s="26"/>
      <c r="AN261" s="20"/>
      <c r="AO261" s="20"/>
      <c r="AP261" s="20"/>
      <c r="AQ261" s="20"/>
      <c r="AR261" s="20"/>
      <c r="AS261" s="35"/>
      <c r="AT261" s="19"/>
      <c r="AU261" s="19"/>
      <c r="AV261" s="19"/>
      <c r="AW261" s="19"/>
      <c r="AX261" s="26"/>
    </row>
    <row r="262" spans="3:50" ht="11.25" customHeight="1">
      <c r="C262" s="20"/>
      <c r="E262" s="20"/>
      <c r="F262" s="20"/>
      <c r="G262" s="20"/>
      <c r="H262" s="20"/>
      <c r="I262" s="26"/>
      <c r="J262" s="20"/>
      <c r="K262" s="26"/>
      <c r="L262" s="20"/>
      <c r="M262" s="20"/>
      <c r="N262" s="20"/>
      <c r="O262" s="20"/>
      <c r="P262" s="20"/>
      <c r="Q262" s="20"/>
      <c r="R262" s="20"/>
      <c r="S262" s="20"/>
      <c r="U262" s="20"/>
      <c r="V262" s="20"/>
      <c r="W262" s="31"/>
      <c r="Y262" s="20"/>
      <c r="Z262" s="20"/>
      <c r="AA262" s="20"/>
      <c r="AB262" s="26"/>
      <c r="AD262" s="20"/>
      <c r="AE262" s="20"/>
      <c r="AF262" s="20"/>
      <c r="AG262" s="20"/>
      <c r="AH262" s="20"/>
      <c r="AI262" s="35"/>
      <c r="AJ262" s="20"/>
      <c r="AK262" s="26"/>
      <c r="AL262" s="20"/>
      <c r="AM262" s="26"/>
      <c r="AN262" s="20"/>
      <c r="AO262" s="20"/>
      <c r="AP262" s="20"/>
      <c r="AQ262" s="20"/>
      <c r="AR262" s="20"/>
      <c r="AS262" s="35"/>
      <c r="AT262" s="19"/>
      <c r="AU262" s="19"/>
      <c r="AV262" s="19"/>
      <c r="AW262" s="19"/>
      <c r="AX262" s="26"/>
    </row>
    <row r="263" spans="3:50" ht="11.25" customHeight="1"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19"/>
      <c r="AT263" s="19"/>
      <c r="AU263" s="19"/>
      <c r="AV263" s="19"/>
      <c r="AW263" s="19"/>
      <c r="AX263" s="26"/>
    </row>
    <row r="264" spans="3:50" ht="11.25" customHeight="1"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19"/>
      <c r="AT264" s="19"/>
      <c r="AU264" s="19"/>
      <c r="AV264" s="19"/>
      <c r="AW264" s="19"/>
      <c r="AX264" s="26"/>
    </row>
    <row r="265" spans="3:50" ht="11.25" customHeight="1"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19"/>
      <c r="AT265" s="19"/>
      <c r="AU265" s="19"/>
      <c r="AV265" s="19"/>
      <c r="AW265" s="19"/>
      <c r="AX265" s="26"/>
    </row>
    <row r="266" spans="3:50" ht="11.25" customHeight="1">
      <c r="C266" s="26"/>
      <c r="D266" s="26"/>
      <c r="E266" s="26"/>
      <c r="F266" s="26"/>
      <c r="G266" s="26"/>
      <c r="H266" s="26"/>
      <c r="I266" s="20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19"/>
      <c r="AT266" s="19"/>
      <c r="AU266" s="19"/>
      <c r="AV266" s="19"/>
      <c r="AW266" s="19"/>
      <c r="AX266" s="26"/>
    </row>
    <row r="267" spans="3:50" ht="11.25" customHeight="1">
      <c r="C267" s="26"/>
      <c r="D267" s="26"/>
      <c r="E267" s="26"/>
      <c r="F267" s="26"/>
      <c r="G267" s="26"/>
      <c r="H267" s="26"/>
      <c r="I267" s="20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35"/>
      <c r="AT267" s="19"/>
      <c r="AU267" s="19"/>
      <c r="AV267" s="19"/>
      <c r="AW267" s="19"/>
      <c r="AX267" s="26"/>
    </row>
    <row r="268" spans="3:50" ht="11.25" customHeight="1"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35"/>
      <c r="AT268" s="19"/>
      <c r="AU268" s="19"/>
      <c r="AV268" s="19"/>
      <c r="AW268" s="19"/>
      <c r="AX268" s="26"/>
    </row>
    <row r="269" spans="3:50" ht="11.25" customHeight="1">
      <c r="C269" s="26"/>
      <c r="D269" s="26"/>
      <c r="E269" s="26"/>
      <c r="F269" s="26"/>
      <c r="G269" s="26"/>
      <c r="H269" s="26"/>
      <c r="I269" s="20"/>
      <c r="J269" s="26"/>
      <c r="K269" s="20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0"/>
      <c r="AC269" s="26"/>
      <c r="AD269" s="26"/>
      <c r="AE269" s="26"/>
      <c r="AF269" s="26"/>
      <c r="AG269" s="26"/>
      <c r="AH269" s="26"/>
      <c r="AI269" s="26"/>
      <c r="AJ269" s="26"/>
      <c r="AK269" s="20"/>
      <c r="AL269" s="26"/>
      <c r="AM269" s="20"/>
      <c r="AN269" s="26"/>
      <c r="AO269" s="26"/>
      <c r="AP269" s="26"/>
      <c r="AQ269" s="26"/>
      <c r="AR269" s="26"/>
      <c r="AS269" s="35"/>
      <c r="AT269" s="19"/>
      <c r="AU269" s="19"/>
      <c r="AV269" s="19"/>
      <c r="AW269" s="19"/>
      <c r="AX269" s="26"/>
    </row>
    <row r="270" spans="3:50" ht="11.25" customHeight="1">
      <c r="C270" s="26"/>
      <c r="D270" s="26"/>
      <c r="E270" s="26"/>
      <c r="F270" s="26"/>
      <c r="G270" s="26"/>
      <c r="H270" s="26"/>
      <c r="I270" s="26"/>
      <c r="J270" s="26"/>
      <c r="K270" s="19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19"/>
      <c r="AC270" s="26"/>
      <c r="AD270" s="26"/>
      <c r="AE270" s="26"/>
      <c r="AF270" s="26"/>
      <c r="AG270" s="26"/>
      <c r="AH270" s="26"/>
      <c r="AI270" s="26"/>
      <c r="AJ270" s="26"/>
      <c r="AK270" s="19"/>
      <c r="AL270" s="26"/>
      <c r="AM270" s="19"/>
      <c r="AN270" s="26"/>
      <c r="AO270" s="26"/>
      <c r="AP270" s="26"/>
      <c r="AQ270" s="26"/>
      <c r="AR270" s="26"/>
      <c r="AS270" s="26"/>
      <c r="AT270" s="19"/>
      <c r="AU270" s="19"/>
      <c r="AV270" s="19"/>
      <c r="AW270" s="19"/>
      <c r="AX270" s="26"/>
    </row>
    <row r="271" spans="3:50" ht="11.25" customHeight="1">
      <c r="C271" s="26"/>
      <c r="D271" s="26"/>
      <c r="E271" s="26"/>
      <c r="F271" s="26"/>
      <c r="G271" s="26"/>
      <c r="H271" s="26"/>
      <c r="I271" s="26"/>
      <c r="J271" s="26"/>
      <c r="K271" s="20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0"/>
      <c r="AD271" s="26"/>
      <c r="AE271" s="26"/>
      <c r="AF271" s="26"/>
      <c r="AG271" s="26"/>
      <c r="AH271" s="26"/>
      <c r="AI271" s="26"/>
      <c r="AJ271" s="26"/>
      <c r="AK271" s="20"/>
      <c r="AL271" s="26"/>
      <c r="AM271" s="20"/>
      <c r="AN271" s="26"/>
      <c r="AO271" s="26"/>
      <c r="AP271" s="26"/>
      <c r="AQ271" s="26"/>
      <c r="AR271" s="26"/>
      <c r="AS271" s="26"/>
      <c r="AT271" s="19"/>
      <c r="AU271" s="19"/>
      <c r="AV271" s="19"/>
      <c r="AW271" s="19"/>
      <c r="AX271" s="26"/>
    </row>
    <row r="272" spans="3:50" ht="11.25" customHeight="1">
      <c r="C272" s="26"/>
      <c r="D272" s="26"/>
      <c r="E272" s="26"/>
      <c r="F272" s="26"/>
      <c r="G272" s="26"/>
      <c r="H272" s="26"/>
      <c r="I272" s="26"/>
      <c r="J272" s="26"/>
      <c r="K272" s="34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34"/>
      <c r="AC272" s="26"/>
      <c r="AD272" s="26"/>
      <c r="AE272" s="26"/>
      <c r="AF272" s="26"/>
      <c r="AG272" s="26"/>
      <c r="AH272" s="26"/>
      <c r="AI272" s="26"/>
      <c r="AJ272" s="26"/>
      <c r="AK272" s="34"/>
      <c r="AL272" s="26"/>
      <c r="AM272" s="34"/>
      <c r="AN272" s="26"/>
      <c r="AO272" s="26"/>
      <c r="AP272" s="26"/>
      <c r="AQ272" s="26"/>
      <c r="AR272" s="26"/>
      <c r="AS272" s="26"/>
      <c r="AT272" s="19"/>
      <c r="AU272" s="19"/>
      <c r="AV272" s="19"/>
      <c r="AW272" s="19"/>
      <c r="AX272" s="26"/>
    </row>
    <row r="273" spans="3:50" ht="11.25" customHeight="1">
      <c r="C273" s="20"/>
      <c r="E273" s="20"/>
      <c r="F273" s="20"/>
      <c r="G273" s="20"/>
      <c r="H273" s="20"/>
      <c r="I273" s="26"/>
      <c r="J273" s="20"/>
      <c r="L273" s="20"/>
      <c r="M273" s="20"/>
      <c r="N273" s="20"/>
      <c r="O273" s="20"/>
      <c r="P273" s="20"/>
      <c r="Q273" s="20"/>
      <c r="R273" s="20"/>
      <c r="S273" s="20"/>
      <c r="U273" s="20"/>
      <c r="V273" s="20"/>
      <c r="W273" s="31"/>
      <c r="Y273" s="20"/>
      <c r="Z273" s="20"/>
      <c r="AA273" s="20"/>
      <c r="AD273" s="20"/>
      <c r="AE273" s="20"/>
      <c r="AF273" s="20"/>
      <c r="AG273" s="20"/>
      <c r="AH273" s="20"/>
      <c r="AI273" s="35"/>
      <c r="AJ273" s="20"/>
      <c r="AL273" s="20"/>
      <c r="AN273" s="20"/>
      <c r="AO273" s="20"/>
      <c r="AP273" s="20"/>
      <c r="AQ273" s="20"/>
      <c r="AR273" s="20"/>
      <c r="AS273" s="35"/>
      <c r="AT273" s="19"/>
      <c r="AU273" s="19"/>
      <c r="AV273" s="19"/>
      <c r="AW273" s="19"/>
      <c r="AX273" s="26"/>
    </row>
    <row r="274" spans="3:50" ht="11.25" customHeight="1">
      <c r="C274" s="19"/>
      <c r="D274" s="19"/>
      <c r="E274" s="19"/>
      <c r="F274" s="19"/>
      <c r="G274" s="19"/>
      <c r="H274" s="19"/>
      <c r="I274" s="26"/>
      <c r="J274" s="19"/>
      <c r="L274" s="19"/>
      <c r="M274" s="19"/>
      <c r="N274" s="19"/>
      <c r="O274" s="19"/>
      <c r="P274" s="19"/>
      <c r="Q274" s="19"/>
      <c r="R274" s="19"/>
      <c r="S274" s="26"/>
      <c r="T274" s="19"/>
      <c r="U274" s="19"/>
      <c r="V274" s="19"/>
      <c r="W274" s="19"/>
      <c r="X274" s="19"/>
      <c r="Y274" s="19"/>
      <c r="Z274" s="19"/>
      <c r="AA274" s="19"/>
      <c r="AC274" s="19"/>
      <c r="AD274" s="19"/>
      <c r="AE274" s="19"/>
      <c r="AF274" s="19"/>
      <c r="AG274" s="19"/>
      <c r="AH274" s="19"/>
      <c r="AI274" s="19"/>
      <c r="AJ274" s="19"/>
      <c r="AL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34"/>
    </row>
    <row r="275" spans="3:49" ht="11.25" customHeight="1">
      <c r="C275" s="20"/>
      <c r="E275" s="20"/>
      <c r="F275" s="20"/>
      <c r="G275" s="20"/>
      <c r="H275" s="20"/>
      <c r="I275" s="26"/>
      <c r="J275" s="20"/>
      <c r="L275" s="20"/>
      <c r="M275" s="20"/>
      <c r="N275" s="20"/>
      <c r="O275" s="20"/>
      <c r="P275" s="20"/>
      <c r="Q275" s="20"/>
      <c r="R275" s="20"/>
      <c r="S275" s="20"/>
      <c r="U275" s="20"/>
      <c r="V275" s="20"/>
      <c r="W275" s="31"/>
      <c r="Y275" s="20"/>
      <c r="Z275" s="20"/>
      <c r="AA275" s="20"/>
      <c r="AD275" s="20"/>
      <c r="AE275" s="20"/>
      <c r="AF275" s="20"/>
      <c r="AG275" s="20"/>
      <c r="AH275" s="20"/>
      <c r="AI275" s="35"/>
      <c r="AJ275" s="20"/>
      <c r="AL275" s="20"/>
      <c r="AN275" s="20"/>
      <c r="AO275" s="20"/>
      <c r="AP275" s="20"/>
      <c r="AQ275" s="20"/>
      <c r="AR275" s="20"/>
      <c r="AS275" s="35"/>
      <c r="AT275" s="19"/>
      <c r="AU275" s="19"/>
      <c r="AV275" s="19"/>
      <c r="AW275" s="19"/>
    </row>
    <row r="276" spans="3:49" ht="11.25" customHeight="1">
      <c r="C276" s="34"/>
      <c r="D276" s="34"/>
      <c r="E276" s="34"/>
      <c r="F276" s="34"/>
      <c r="G276" s="34"/>
      <c r="H276" s="34"/>
      <c r="I276" s="34"/>
      <c r="J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C276" s="34"/>
      <c r="AD276" s="34"/>
      <c r="AE276" s="34"/>
      <c r="AF276" s="34"/>
      <c r="AG276" s="34"/>
      <c r="AH276" s="34"/>
      <c r="AI276" s="34"/>
      <c r="AJ276" s="34"/>
      <c r="AL276" s="34"/>
      <c r="AN276" s="34"/>
      <c r="AO276" s="34"/>
      <c r="AP276" s="34"/>
      <c r="AQ276" s="34"/>
      <c r="AR276" s="34"/>
      <c r="AS276" s="34"/>
      <c r="AT276" s="28"/>
      <c r="AU276" s="28"/>
      <c r="AV276" s="28"/>
      <c r="AW276" s="28"/>
    </row>
    <row r="277" spans="48:49" ht="11.25" customHeight="1">
      <c r="AV277" s="19"/>
      <c r="AW277" s="19"/>
    </row>
    <row r="278" spans="48:49" ht="11.25" customHeight="1">
      <c r="AV278" s="19"/>
      <c r="AW278" s="19"/>
    </row>
    <row r="279" spans="48:49" ht="11.25" customHeight="1">
      <c r="AV279" s="19"/>
      <c r="AW279" s="19"/>
    </row>
  </sheetData>
  <sheetProtection/>
  <mergeCells count="41">
    <mergeCell ref="G4:H4"/>
    <mergeCell ref="R4:S4"/>
    <mergeCell ref="C4:D4"/>
    <mergeCell ref="V4:W4"/>
    <mergeCell ref="AS1:AS3"/>
    <mergeCell ref="P1:P3"/>
    <mergeCell ref="AB1:AB3"/>
    <mergeCell ref="AK1:AK3"/>
    <mergeCell ref="AM1:AM3"/>
    <mergeCell ref="X1:X3"/>
    <mergeCell ref="AR1:AR3"/>
    <mergeCell ref="AF1:AF3"/>
    <mergeCell ref="AA1:AA3"/>
    <mergeCell ref="AD1:AD3"/>
    <mergeCell ref="AC1:AC3"/>
    <mergeCell ref="AN1:AN3"/>
    <mergeCell ref="AL1:AL3"/>
    <mergeCell ref="AJ1:AJ3"/>
    <mergeCell ref="AH1:AH3"/>
    <mergeCell ref="AP1:AP3"/>
    <mergeCell ref="U1:U3"/>
    <mergeCell ref="M1:M3"/>
    <mergeCell ref="G1:H1"/>
    <mergeCell ref="O1:O3"/>
    <mergeCell ref="V1:W1"/>
    <mergeCell ref="I1:K1"/>
    <mergeCell ref="R1:S1"/>
    <mergeCell ref="Q1:Q3"/>
    <mergeCell ref="AG1:AG3"/>
    <mergeCell ref="AQ1:AQ3"/>
    <mergeCell ref="Y1:Y3"/>
    <mergeCell ref="Z1:Z3"/>
    <mergeCell ref="AI1:AI3"/>
    <mergeCell ref="AE1:AE3"/>
    <mergeCell ref="AO1:AO3"/>
    <mergeCell ref="C1:D1"/>
    <mergeCell ref="L1:L3"/>
    <mergeCell ref="T1:T3"/>
    <mergeCell ref="E1:E3"/>
    <mergeCell ref="N1:N3"/>
    <mergeCell ref="F1:F3"/>
  </mergeCells>
  <printOptions/>
  <pageMargins left="0.4724409448818898" right="0.2755905511811024" top="0.8267716535433072" bottom="0" header="0.1968503937007874" footer="0.11811023622047245"/>
  <pageSetup firstPageNumber="30" useFirstPageNumber="1" horizontalDpi="600" verticalDpi="600" orientation="portrait" paperSize="9" r:id="rId1"/>
  <headerFooter alignWithMargins="0">
    <oddHeader>&amp;C&amp;"Times New Roman,Bold"&amp;12 4.1. SAMTRYGGINGARDEILDIR      
YFIRLIT, EFNAHAGSREIKNINGAR OG SJÓÐSTREYMI ÁRIÐ 2007</oddHeader>
    <oddFooter>&amp;R&amp;"Times New Roman,Regular"&amp;P</oddFooter>
  </headerFooter>
  <colBreaks count="2" manualBreakCount="2">
    <brk id="8" max="158" man="1"/>
    <brk id="21" max="1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B105"/>
  <sheetViews>
    <sheetView zoomScaleSheetLayoutView="100" workbookViewId="0" topLeftCell="AP1">
      <selection activeCell="AU19" sqref="AU19"/>
    </sheetView>
  </sheetViews>
  <sheetFormatPr defaultColWidth="9.140625" defaultRowHeight="12.75" customHeight="1"/>
  <cols>
    <col min="1" max="1" width="23.57421875" style="31" customWidth="1"/>
    <col min="2" max="2" width="3.00390625" style="46" bestFit="1" customWidth="1"/>
    <col min="3" max="4" width="9.28125" style="33" customWidth="1"/>
    <col min="5" max="5" width="9.7109375" style="33" customWidth="1"/>
    <col min="6" max="6" width="9.7109375" style="31" customWidth="1"/>
    <col min="7" max="8" width="9.28125" style="33" customWidth="1"/>
    <col min="9" max="9" width="9.7109375" style="33" customWidth="1"/>
    <col min="10" max="11" width="9.28125" style="33" customWidth="1"/>
    <col min="12" max="12" width="9.7109375" style="31" customWidth="1"/>
    <col min="13" max="13" width="9.7109375" style="33" customWidth="1"/>
    <col min="14" max="14" width="9.7109375" style="31" customWidth="1"/>
    <col min="15" max="17" width="9.7109375" style="33" customWidth="1"/>
    <col min="18" max="19" width="9.28125" style="33" customWidth="1"/>
    <col min="20" max="21" width="9.7109375" style="31" customWidth="1"/>
    <col min="22" max="23" width="9.28125" style="33" customWidth="1"/>
    <col min="24" max="24" width="9.7109375" style="33" customWidth="1"/>
    <col min="25" max="25" width="9.7109375" style="31" customWidth="1"/>
    <col min="26" max="31" width="9.7109375" style="33" customWidth="1"/>
    <col min="32" max="32" width="9.7109375" style="31" customWidth="1"/>
    <col min="33" max="37" width="9.7109375" style="33" customWidth="1"/>
    <col min="38" max="38" width="9.7109375" style="31" customWidth="1"/>
    <col min="39" max="42" width="9.7109375" style="33" customWidth="1"/>
    <col min="43" max="43" width="10.00390625" style="33" customWidth="1"/>
    <col min="44" max="45" width="9.7109375" style="33" customWidth="1"/>
    <col min="46" max="46" width="5.7109375" style="33" customWidth="1"/>
    <col min="47" max="47" width="10.7109375" style="33" customWidth="1"/>
    <col min="48" max="48" width="2.7109375" style="33" customWidth="1"/>
    <col min="49" max="50" width="9.7109375" style="33" customWidth="1"/>
    <col min="51" max="51" width="13.140625" style="33" customWidth="1"/>
    <col min="52" max="16384" width="9.140625" style="33" customWidth="1"/>
  </cols>
  <sheetData>
    <row r="1" spans="1:85" s="25" customFormat="1" ht="10.5" customHeight="1">
      <c r="A1" s="170"/>
      <c r="B1" s="222"/>
      <c r="C1" s="480" t="s">
        <v>167</v>
      </c>
      <c r="D1" s="480"/>
      <c r="E1" s="477" t="s">
        <v>170</v>
      </c>
      <c r="F1" s="477" t="s">
        <v>25</v>
      </c>
      <c r="G1" s="480" t="s">
        <v>0</v>
      </c>
      <c r="H1" s="480"/>
      <c r="I1" s="480" t="s">
        <v>23</v>
      </c>
      <c r="J1" s="480"/>
      <c r="K1" s="480"/>
      <c r="L1" s="477" t="s">
        <v>547</v>
      </c>
      <c r="M1" s="477" t="s">
        <v>31</v>
      </c>
      <c r="N1" s="477" t="s">
        <v>223</v>
      </c>
      <c r="O1" s="477" t="s">
        <v>2</v>
      </c>
      <c r="P1" s="477" t="s">
        <v>24</v>
      </c>
      <c r="Q1" s="477" t="s">
        <v>166</v>
      </c>
      <c r="R1" s="480" t="s">
        <v>3</v>
      </c>
      <c r="S1" s="480"/>
      <c r="T1" s="477" t="s">
        <v>29</v>
      </c>
      <c r="U1" s="477" t="s">
        <v>224</v>
      </c>
      <c r="V1" s="480" t="s">
        <v>228</v>
      </c>
      <c r="W1" s="480"/>
      <c r="X1" s="477" t="s">
        <v>30</v>
      </c>
      <c r="Y1" s="477" t="s">
        <v>230</v>
      </c>
      <c r="Z1" s="477" t="s">
        <v>161</v>
      </c>
      <c r="AA1" s="477" t="s">
        <v>27</v>
      </c>
      <c r="AB1" s="477" t="s">
        <v>157</v>
      </c>
      <c r="AC1" s="477" t="s">
        <v>227</v>
      </c>
      <c r="AD1" s="477" t="s">
        <v>539</v>
      </c>
      <c r="AE1" s="477" t="s">
        <v>222</v>
      </c>
      <c r="AF1" s="477" t="s">
        <v>162</v>
      </c>
      <c r="AG1" s="477" t="s">
        <v>28</v>
      </c>
      <c r="AH1" s="477" t="s">
        <v>169</v>
      </c>
      <c r="AI1" s="477" t="s">
        <v>165</v>
      </c>
      <c r="AJ1" s="477" t="s">
        <v>158</v>
      </c>
      <c r="AK1" s="477" t="s">
        <v>4</v>
      </c>
      <c r="AL1" s="477" t="s">
        <v>160</v>
      </c>
      <c r="AM1" s="477" t="s">
        <v>5</v>
      </c>
      <c r="AN1" s="477" t="s">
        <v>163</v>
      </c>
      <c r="AO1" s="477" t="s">
        <v>6</v>
      </c>
      <c r="AP1" s="477" t="s">
        <v>226</v>
      </c>
      <c r="AQ1" s="483" t="s">
        <v>578</v>
      </c>
      <c r="AR1" s="477" t="s">
        <v>168</v>
      </c>
      <c r="AS1" s="477" t="s">
        <v>159</v>
      </c>
      <c r="AT1" s="164"/>
      <c r="AU1" s="171" t="s">
        <v>9</v>
      </c>
      <c r="AV1" s="171"/>
      <c r="AW1" s="171" t="s">
        <v>7</v>
      </c>
      <c r="AX1" s="171" t="s">
        <v>7</v>
      </c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</row>
    <row r="2" spans="1:85" s="25" customFormat="1" ht="10.5" customHeight="1">
      <c r="A2" s="170"/>
      <c r="B2" s="222"/>
      <c r="C2" s="194"/>
      <c r="D2" s="194"/>
      <c r="E2" s="477"/>
      <c r="F2" s="477"/>
      <c r="G2" s="194"/>
      <c r="H2" s="194"/>
      <c r="I2" s="171"/>
      <c r="J2" s="171"/>
      <c r="K2" s="171"/>
      <c r="L2" s="477"/>
      <c r="M2" s="477"/>
      <c r="N2" s="477"/>
      <c r="O2" s="477"/>
      <c r="P2" s="477"/>
      <c r="Q2" s="477"/>
      <c r="R2" s="194"/>
      <c r="S2" s="194"/>
      <c r="T2" s="477"/>
      <c r="U2" s="477"/>
      <c r="V2" s="194"/>
      <c r="W2" s="194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83"/>
      <c r="AR2" s="477"/>
      <c r="AS2" s="477"/>
      <c r="AT2" s="164"/>
      <c r="AU2" s="171" t="s">
        <v>12</v>
      </c>
      <c r="AV2" s="171"/>
      <c r="AW2" s="171" t="s">
        <v>10</v>
      </c>
      <c r="AX2" s="171" t="s">
        <v>11</v>
      </c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</row>
    <row r="3" spans="1:85" s="25" customFormat="1" ht="10.5" customHeight="1">
      <c r="A3" s="170"/>
      <c r="B3" s="222"/>
      <c r="C3" s="178"/>
      <c r="D3" s="178"/>
      <c r="E3" s="477" t="s">
        <v>35</v>
      </c>
      <c r="F3" s="477" t="s">
        <v>35</v>
      </c>
      <c r="G3" s="178"/>
      <c r="H3" s="178"/>
      <c r="I3" s="195"/>
      <c r="J3" s="195"/>
      <c r="K3" s="195"/>
      <c r="L3" s="477" t="s">
        <v>36</v>
      </c>
      <c r="M3" s="477" t="s">
        <v>35</v>
      </c>
      <c r="N3" s="477" t="s">
        <v>35</v>
      </c>
      <c r="O3" s="477" t="s">
        <v>35</v>
      </c>
      <c r="P3" s="477" t="s">
        <v>35</v>
      </c>
      <c r="Q3" s="477" t="s">
        <v>35</v>
      </c>
      <c r="R3" s="195"/>
      <c r="S3" s="195"/>
      <c r="T3" s="477" t="s">
        <v>35</v>
      </c>
      <c r="U3" s="477" t="s">
        <v>35</v>
      </c>
      <c r="V3" s="178"/>
      <c r="W3" s="178"/>
      <c r="X3" s="477" t="s">
        <v>35</v>
      </c>
      <c r="Y3" s="477" t="s">
        <v>35</v>
      </c>
      <c r="Z3" s="477" t="s">
        <v>35</v>
      </c>
      <c r="AA3" s="477" t="s">
        <v>35</v>
      </c>
      <c r="AB3" s="477"/>
      <c r="AC3" s="477" t="s">
        <v>35</v>
      </c>
      <c r="AD3" s="477" t="s">
        <v>35</v>
      </c>
      <c r="AE3" s="477" t="s">
        <v>35</v>
      </c>
      <c r="AF3" s="477" t="s">
        <v>35</v>
      </c>
      <c r="AG3" s="477"/>
      <c r="AH3" s="477" t="s">
        <v>35</v>
      </c>
      <c r="AI3" s="477" t="s">
        <v>35</v>
      </c>
      <c r="AJ3" s="477" t="s">
        <v>14</v>
      </c>
      <c r="AK3" s="477" t="s">
        <v>35</v>
      </c>
      <c r="AL3" s="477" t="s">
        <v>35</v>
      </c>
      <c r="AM3" s="477" t="s">
        <v>35</v>
      </c>
      <c r="AN3" s="477"/>
      <c r="AO3" s="477" t="s">
        <v>35</v>
      </c>
      <c r="AP3" s="477" t="s">
        <v>35</v>
      </c>
      <c r="AQ3" s="483"/>
      <c r="AR3" s="477" t="s">
        <v>18</v>
      </c>
      <c r="AS3" s="477" t="s">
        <v>35</v>
      </c>
      <c r="AT3" s="164"/>
      <c r="AU3" s="171"/>
      <c r="AV3" s="171"/>
      <c r="AW3" s="171" t="s">
        <v>13</v>
      </c>
      <c r="AX3" s="171" t="s">
        <v>13</v>
      </c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</row>
    <row r="4" spans="1:50" s="25" customFormat="1" ht="12.75" customHeight="1">
      <c r="A4" s="176"/>
      <c r="B4" s="140"/>
      <c r="C4" s="484" t="s">
        <v>481</v>
      </c>
      <c r="D4" s="484"/>
      <c r="E4" s="175" t="s">
        <v>511</v>
      </c>
      <c r="F4" s="175" t="s">
        <v>491</v>
      </c>
      <c r="G4" s="484" t="s">
        <v>515</v>
      </c>
      <c r="H4" s="484"/>
      <c r="I4" s="484" t="s">
        <v>482</v>
      </c>
      <c r="J4" s="484"/>
      <c r="K4" s="484"/>
      <c r="L4" s="175" t="s">
        <v>517</v>
      </c>
      <c r="M4" s="175" t="s">
        <v>490</v>
      </c>
      <c r="N4" s="175" t="s">
        <v>501</v>
      </c>
      <c r="O4" s="175" t="s">
        <v>516</v>
      </c>
      <c r="P4" s="175" t="s">
        <v>489</v>
      </c>
      <c r="Q4" s="175" t="s">
        <v>496</v>
      </c>
      <c r="R4" s="484" t="s">
        <v>494</v>
      </c>
      <c r="S4" s="484"/>
      <c r="T4" s="175" t="s">
        <v>510</v>
      </c>
      <c r="U4" s="175" t="s">
        <v>512</v>
      </c>
      <c r="V4" s="484" t="s">
        <v>508</v>
      </c>
      <c r="W4" s="484"/>
      <c r="X4" s="175" t="s">
        <v>492</v>
      </c>
      <c r="Y4" s="175" t="s">
        <v>499</v>
      </c>
      <c r="Z4" s="175" t="s">
        <v>513</v>
      </c>
      <c r="AA4" s="175" t="s">
        <v>495</v>
      </c>
      <c r="AB4" s="175" t="s">
        <v>483</v>
      </c>
      <c r="AC4" s="175" t="s">
        <v>507</v>
      </c>
      <c r="AD4" s="175" t="s">
        <v>505</v>
      </c>
      <c r="AE4" s="175" t="s">
        <v>486</v>
      </c>
      <c r="AF4" s="175" t="s">
        <v>502</v>
      </c>
      <c r="AG4" s="175" t="s">
        <v>497</v>
      </c>
      <c r="AH4" s="175" t="s">
        <v>498</v>
      </c>
      <c r="AI4" s="175" t="s">
        <v>509</v>
      </c>
      <c r="AJ4" s="175" t="s">
        <v>506</v>
      </c>
      <c r="AK4" s="175" t="s">
        <v>504</v>
      </c>
      <c r="AL4" s="175" t="s">
        <v>487</v>
      </c>
      <c r="AM4" s="175" t="s">
        <v>500</v>
      </c>
      <c r="AN4" s="175" t="s">
        <v>493</v>
      </c>
      <c r="AO4" s="175" t="s">
        <v>484</v>
      </c>
      <c r="AP4" s="175" t="s">
        <v>488</v>
      </c>
      <c r="AQ4" s="175" t="s">
        <v>485</v>
      </c>
      <c r="AR4" s="175" t="s">
        <v>503</v>
      </c>
      <c r="AS4" s="175" t="s">
        <v>514</v>
      </c>
      <c r="AT4" s="195"/>
      <c r="AU4" s="178"/>
      <c r="AV4" s="178"/>
      <c r="AW4" s="178"/>
      <c r="AX4" s="178"/>
    </row>
    <row r="5" spans="1:50" s="25" customFormat="1" ht="12.75" customHeight="1">
      <c r="A5" s="176"/>
      <c r="B5" s="140"/>
      <c r="C5" s="195" t="s">
        <v>15</v>
      </c>
      <c r="D5" s="195" t="s">
        <v>14</v>
      </c>
      <c r="E5" s="173"/>
      <c r="F5" s="173"/>
      <c r="G5" s="195" t="s">
        <v>171</v>
      </c>
      <c r="H5" s="195" t="s">
        <v>16</v>
      </c>
      <c r="I5" s="195" t="s">
        <v>32</v>
      </c>
      <c r="J5" s="195" t="s">
        <v>33</v>
      </c>
      <c r="K5" s="195" t="s">
        <v>34</v>
      </c>
      <c r="L5" s="173"/>
      <c r="M5" s="173"/>
      <c r="N5" s="173"/>
      <c r="O5" s="173"/>
      <c r="P5" s="173"/>
      <c r="Q5" s="173"/>
      <c r="R5" s="195" t="s">
        <v>37</v>
      </c>
      <c r="S5" s="195" t="s">
        <v>16</v>
      </c>
      <c r="T5" s="173"/>
      <c r="U5" s="173"/>
      <c r="V5" s="195" t="s">
        <v>15</v>
      </c>
      <c r="W5" s="195" t="s">
        <v>17</v>
      </c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8"/>
      <c r="AR5" s="173"/>
      <c r="AS5" s="173"/>
      <c r="AT5" s="195"/>
      <c r="AU5" s="200" t="str">
        <f>CONCATENATE(AU60," deildir")</f>
        <v>43 deildir</v>
      </c>
      <c r="AV5" s="195"/>
      <c r="AW5" s="200" t="str">
        <f>CONCATENATE(AW60," deildir")</f>
        <v>14 deildir</v>
      </c>
      <c r="AX5" s="200" t="str">
        <f>CONCATENATE(AX60," deildir")</f>
        <v>29 deildir</v>
      </c>
    </row>
    <row r="6" spans="1:50" s="25" customFormat="1" ht="12.75" customHeight="1">
      <c r="A6" s="176"/>
      <c r="B6" s="140"/>
      <c r="C6" s="195"/>
      <c r="D6" s="195"/>
      <c r="E6" s="173"/>
      <c r="F6" s="173"/>
      <c r="G6" s="195"/>
      <c r="H6" s="195"/>
      <c r="I6" s="195"/>
      <c r="J6" s="195"/>
      <c r="K6" s="195"/>
      <c r="L6" s="173"/>
      <c r="M6" s="173"/>
      <c r="N6" s="173"/>
      <c r="O6" s="173"/>
      <c r="P6" s="173"/>
      <c r="Q6" s="173"/>
      <c r="R6" s="195"/>
      <c r="S6" s="195"/>
      <c r="T6" s="173"/>
      <c r="U6" s="173"/>
      <c r="V6" s="195"/>
      <c r="W6" s="195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95"/>
      <c r="AR6" s="173"/>
      <c r="AS6" s="173"/>
      <c r="AT6" s="195"/>
      <c r="AU6" s="200"/>
      <c r="AV6" s="195"/>
      <c r="AW6" s="200"/>
      <c r="AX6" s="200"/>
    </row>
    <row r="7" spans="1:50" s="36" customFormat="1" ht="12.75" customHeight="1">
      <c r="A7" s="243" t="s">
        <v>532</v>
      </c>
      <c r="B7" s="140">
        <v>1</v>
      </c>
      <c r="C7" s="244">
        <f aca="true" t="shared" si="0" ref="C7:H7">+C74</f>
        <v>-1.2752368906896128</v>
      </c>
      <c r="D7" s="244">
        <f t="shared" si="0"/>
        <v>-0.6377472391352446</v>
      </c>
      <c r="E7" s="244">
        <f t="shared" si="0"/>
        <v>1.0489611499931328</v>
      </c>
      <c r="F7" s="244">
        <f t="shared" si="0"/>
        <v>2.3631735719570113</v>
      </c>
      <c r="G7" s="244">
        <f t="shared" si="0"/>
        <v>0.0046816968372720424</v>
      </c>
      <c r="H7" s="244">
        <f t="shared" si="0"/>
        <v>-0.009242119501329249</v>
      </c>
      <c r="I7" s="245" t="s">
        <v>236</v>
      </c>
      <c r="J7" s="245">
        <v>3.7</v>
      </c>
      <c r="K7" s="245">
        <v>-1.5</v>
      </c>
      <c r="L7" s="244">
        <f>+L74</f>
        <v>-0.5702031772073624</v>
      </c>
      <c r="M7" s="244">
        <f aca="true" t="shared" si="1" ref="M7:X7">+M74</f>
        <v>0.8773020360405948</v>
      </c>
      <c r="N7" s="244">
        <f t="shared" si="1"/>
        <v>-2.3496771366368296</v>
      </c>
      <c r="O7" s="244">
        <f t="shared" si="1"/>
        <v>0.2105702473885529</v>
      </c>
      <c r="P7" s="244">
        <f t="shared" si="1"/>
        <v>2.7705543908964847</v>
      </c>
      <c r="Q7" s="244">
        <f>+Q74</f>
        <v>8.493334771088556</v>
      </c>
      <c r="R7" s="244">
        <f t="shared" si="1"/>
        <v>1.6725418618041665</v>
      </c>
      <c r="S7" s="244">
        <f t="shared" si="1"/>
        <v>0.5811014223759292</v>
      </c>
      <c r="T7" s="244">
        <f t="shared" si="1"/>
        <v>-0.7294042334499373</v>
      </c>
      <c r="U7" s="245">
        <v>1.8</v>
      </c>
      <c r="V7" s="244">
        <f t="shared" si="1"/>
        <v>0.9780540908945312</v>
      </c>
      <c r="W7" s="244">
        <f t="shared" si="1"/>
        <v>0.9756605424042553</v>
      </c>
      <c r="X7" s="244">
        <f t="shared" si="1"/>
        <v>-0.395312855306873</v>
      </c>
      <c r="Y7" s="244">
        <f aca="true" t="shared" si="2" ref="Y7:AS7">+Y74</f>
        <v>1.2109300543184265</v>
      </c>
      <c r="Z7" s="244">
        <f t="shared" si="2"/>
        <v>-1.472284690384762</v>
      </c>
      <c r="AA7" s="244">
        <f t="shared" si="2"/>
        <v>-1.0746573212982446</v>
      </c>
      <c r="AB7" s="244">
        <f t="shared" si="2"/>
        <v>1.566632811461277</v>
      </c>
      <c r="AC7" s="244">
        <f t="shared" si="2"/>
        <v>5.824821743363273</v>
      </c>
      <c r="AD7" s="245">
        <v>3.1</v>
      </c>
      <c r="AE7" s="244">
        <f t="shared" si="2"/>
        <v>-0.5122426835851734</v>
      </c>
      <c r="AF7" s="244">
        <f t="shared" si="2"/>
        <v>4.020335862836499</v>
      </c>
      <c r="AG7" s="244">
        <f t="shared" si="2"/>
        <v>1.0017285855184799</v>
      </c>
      <c r="AH7" s="244">
        <f t="shared" si="2"/>
        <v>0.5260687851046608</v>
      </c>
      <c r="AI7" s="244">
        <f t="shared" si="2"/>
        <v>-0.43230305827839377</v>
      </c>
      <c r="AJ7" s="244">
        <f>+AJ74</f>
        <v>-1.3784487986259863</v>
      </c>
      <c r="AK7" s="244">
        <f>+AK74</f>
        <v>5.9285067475712605</v>
      </c>
      <c r="AL7" s="244">
        <f>+AL74</f>
        <v>1.4334622033688627</v>
      </c>
      <c r="AM7" s="244">
        <f t="shared" si="2"/>
        <v>9.799756251987347</v>
      </c>
      <c r="AN7" s="244">
        <f t="shared" si="2"/>
        <v>2.513841985801979</v>
      </c>
      <c r="AO7" s="244">
        <f t="shared" si="2"/>
        <v>3.9736354502845073</v>
      </c>
      <c r="AP7" s="244">
        <f t="shared" si="2"/>
        <v>0.5861811507012371</v>
      </c>
      <c r="AQ7" s="244">
        <f t="shared" si="2"/>
        <v>4.6573790524931935</v>
      </c>
      <c r="AR7" s="244">
        <f t="shared" si="2"/>
        <v>-1.4739743730849186</v>
      </c>
      <c r="AS7" s="244">
        <f t="shared" si="2"/>
        <v>-3.462004580370759</v>
      </c>
      <c r="AT7" s="246"/>
      <c r="AU7" s="243">
        <f>+AU74</f>
        <v>0.6948827468732377</v>
      </c>
      <c r="AV7" s="243"/>
      <c r="AW7" s="243">
        <f>+AW74</f>
        <v>0.3065815958494422</v>
      </c>
      <c r="AX7" s="243">
        <f>+AX74</f>
        <v>0.7816560432483355</v>
      </c>
    </row>
    <row r="8" spans="1:50" ht="12.75" customHeight="1">
      <c r="A8" s="174" t="s">
        <v>592</v>
      </c>
      <c r="B8" s="140">
        <v>2</v>
      </c>
      <c r="C8" s="180">
        <v>8.6</v>
      </c>
      <c r="D8" s="180">
        <v>8.8</v>
      </c>
      <c r="E8" s="180">
        <v>10.6</v>
      </c>
      <c r="F8" s="180">
        <v>11.6</v>
      </c>
      <c r="G8" s="180">
        <v>7.5</v>
      </c>
      <c r="H8" s="180">
        <v>7.5</v>
      </c>
      <c r="I8" s="298" t="s">
        <v>520</v>
      </c>
      <c r="J8" s="298" t="s">
        <v>520</v>
      </c>
      <c r="K8" s="156">
        <v>9.4</v>
      </c>
      <c r="L8" s="468">
        <v>8.7</v>
      </c>
      <c r="M8" s="180">
        <v>9.1</v>
      </c>
      <c r="N8" s="180">
        <v>9</v>
      </c>
      <c r="O8" s="180">
        <v>8.7</v>
      </c>
      <c r="P8" s="180">
        <v>7.9</v>
      </c>
      <c r="Q8" s="180">
        <v>5.8</v>
      </c>
      <c r="R8" s="180">
        <v>6</v>
      </c>
      <c r="S8" s="180">
        <v>8.1</v>
      </c>
      <c r="T8" s="180">
        <v>7</v>
      </c>
      <c r="U8" s="180">
        <v>7.9</v>
      </c>
      <c r="V8" s="180">
        <v>6.1</v>
      </c>
      <c r="W8" s="180">
        <v>6.5</v>
      </c>
      <c r="X8" s="180">
        <v>10.1</v>
      </c>
      <c r="Y8" s="180">
        <v>9.2</v>
      </c>
      <c r="Z8" s="180">
        <v>8.8</v>
      </c>
      <c r="AA8" s="180">
        <v>6.9</v>
      </c>
      <c r="AB8" s="156">
        <v>6.8</v>
      </c>
      <c r="AC8" s="180">
        <v>11.5</v>
      </c>
      <c r="AD8" s="180">
        <v>7.9</v>
      </c>
      <c r="AE8" s="180">
        <v>4</v>
      </c>
      <c r="AF8" s="180">
        <v>8</v>
      </c>
      <c r="AG8" s="180">
        <v>5</v>
      </c>
      <c r="AH8" s="180">
        <v>7.3</v>
      </c>
      <c r="AI8" s="180">
        <v>7</v>
      </c>
      <c r="AJ8" s="180">
        <v>7.1</v>
      </c>
      <c r="AK8" s="180">
        <v>6.9</v>
      </c>
      <c r="AL8" s="180">
        <v>8.2</v>
      </c>
      <c r="AM8" s="180">
        <v>7.3</v>
      </c>
      <c r="AN8" s="180">
        <v>4</v>
      </c>
      <c r="AO8" s="180">
        <v>5.4</v>
      </c>
      <c r="AP8" s="180">
        <v>3.2</v>
      </c>
      <c r="AQ8" s="180">
        <v>4.3</v>
      </c>
      <c r="AR8" s="180">
        <v>-159</v>
      </c>
      <c r="AS8" s="180">
        <v>2.1</v>
      </c>
      <c r="AT8" s="222"/>
      <c r="AU8" s="247"/>
      <c r="AV8" s="247"/>
      <c r="AW8" s="248"/>
      <c r="AX8" s="248"/>
    </row>
    <row r="9" spans="1:50" ht="12.75" customHeight="1">
      <c r="A9" s="174"/>
      <c r="B9" s="140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5"/>
      <c r="AK9" s="226"/>
      <c r="AL9" s="226"/>
      <c r="AM9" s="226"/>
      <c r="AN9" s="226"/>
      <c r="AO9" s="226"/>
      <c r="AP9" s="226"/>
      <c r="AQ9" s="226"/>
      <c r="AR9" s="226"/>
      <c r="AS9" s="226"/>
      <c r="AT9" s="222"/>
      <c r="AU9" s="247"/>
      <c r="AV9" s="247"/>
      <c r="AW9" s="248"/>
      <c r="AX9" s="248"/>
    </row>
    <row r="10" spans="1:50" ht="12.75" customHeight="1">
      <c r="A10" s="223" t="s">
        <v>173</v>
      </c>
      <c r="B10" s="224"/>
      <c r="C10" s="180">
        <v>43.6</v>
      </c>
      <c r="D10" s="180">
        <v>44.2</v>
      </c>
      <c r="E10" s="180">
        <v>51.5</v>
      </c>
      <c r="F10" s="180">
        <v>40.5</v>
      </c>
      <c r="G10" s="180">
        <v>46</v>
      </c>
      <c r="H10" s="180">
        <v>46</v>
      </c>
      <c r="I10" s="180">
        <v>62.1</v>
      </c>
      <c r="J10" s="180">
        <v>50.3</v>
      </c>
      <c r="K10" s="180">
        <v>58.5</v>
      </c>
      <c r="L10" s="180">
        <v>49.1</v>
      </c>
      <c r="M10" s="180">
        <v>40.2</v>
      </c>
      <c r="N10" s="180">
        <v>60</v>
      </c>
      <c r="O10" s="180">
        <v>37</v>
      </c>
      <c r="P10" s="180">
        <v>45</v>
      </c>
      <c r="Q10" s="180">
        <v>6.2</v>
      </c>
      <c r="R10" s="180">
        <v>12</v>
      </c>
      <c r="S10" s="180">
        <v>52.1</v>
      </c>
      <c r="T10" s="180">
        <v>43.9</v>
      </c>
      <c r="U10" s="180">
        <v>70.2</v>
      </c>
      <c r="V10" s="180">
        <v>38.9</v>
      </c>
      <c r="W10" s="180">
        <v>38.9</v>
      </c>
      <c r="X10" s="180">
        <v>52.3</v>
      </c>
      <c r="Y10" s="180">
        <v>43.3</v>
      </c>
      <c r="Z10" s="180">
        <v>45.7</v>
      </c>
      <c r="AA10" s="180">
        <v>77</v>
      </c>
      <c r="AB10" s="156">
        <v>66.5</v>
      </c>
      <c r="AC10" s="180">
        <v>22</v>
      </c>
      <c r="AD10" s="180">
        <v>69.4</v>
      </c>
      <c r="AE10" s="180">
        <v>71.3</v>
      </c>
      <c r="AF10" s="180">
        <v>24.5</v>
      </c>
      <c r="AG10" s="180">
        <v>50.5</v>
      </c>
      <c r="AH10" s="180">
        <v>80.1</v>
      </c>
      <c r="AI10" s="180">
        <v>69.2</v>
      </c>
      <c r="AJ10" s="180">
        <v>49.9</v>
      </c>
      <c r="AK10" s="180">
        <v>67.2</v>
      </c>
      <c r="AL10" s="180">
        <v>75.1</v>
      </c>
      <c r="AM10" s="180">
        <v>0.1</v>
      </c>
      <c r="AN10" s="180">
        <v>35.7</v>
      </c>
      <c r="AO10" s="180">
        <v>5.4</v>
      </c>
      <c r="AP10" s="180">
        <v>43.1</v>
      </c>
      <c r="AQ10" s="180">
        <v>69.6</v>
      </c>
      <c r="AR10" s="180">
        <v>0</v>
      </c>
      <c r="AS10" s="180">
        <v>0</v>
      </c>
      <c r="AT10" s="222"/>
      <c r="AU10" s="243">
        <f aca="true" t="shared" si="3" ref="AU10:AU15">+AU89/$AU$95*100</f>
        <v>44.73733099213744</v>
      </c>
      <c r="AV10" s="249"/>
      <c r="AW10" s="243">
        <f aca="true" t="shared" si="4" ref="AW10:AW15">+AW89/$AW$95*100</f>
        <v>39.56301401764146</v>
      </c>
      <c r="AX10" s="243">
        <f aca="true" t="shared" si="5" ref="AX10:AX15">+AX89/$AX$95*100</f>
        <v>45.922243499305665</v>
      </c>
    </row>
    <row r="11" spans="1:50" ht="12.75" customHeight="1">
      <c r="A11" s="174" t="s">
        <v>174</v>
      </c>
      <c r="B11" s="140"/>
      <c r="C11" s="180">
        <v>37.6</v>
      </c>
      <c r="D11" s="180">
        <v>34.8</v>
      </c>
      <c r="E11" s="180">
        <v>30.7</v>
      </c>
      <c r="F11" s="180">
        <v>41.8</v>
      </c>
      <c r="G11" s="180">
        <v>38</v>
      </c>
      <c r="H11" s="180">
        <v>38</v>
      </c>
      <c r="I11" s="180">
        <v>24.1</v>
      </c>
      <c r="J11" s="180">
        <v>30.2</v>
      </c>
      <c r="K11" s="180">
        <v>23.1</v>
      </c>
      <c r="L11" s="180">
        <v>43.7</v>
      </c>
      <c r="M11" s="180">
        <v>35.8</v>
      </c>
      <c r="N11" s="180">
        <v>38.2</v>
      </c>
      <c r="O11" s="180">
        <v>59</v>
      </c>
      <c r="P11" s="180">
        <v>44.8</v>
      </c>
      <c r="Q11" s="180">
        <v>17.1</v>
      </c>
      <c r="R11" s="180">
        <v>61.1</v>
      </c>
      <c r="S11" s="180">
        <v>29.8</v>
      </c>
      <c r="T11" s="180">
        <v>29.6</v>
      </c>
      <c r="U11" s="180">
        <v>4.8</v>
      </c>
      <c r="V11" s="180">
        <v>32.7</v>
      </c>
      <c r="W11" s="180">
        <v>32.7</v>
      </c>
      <c r="X11" s="180">
        <v>41.7</v>
      </c>
      <c r="Y11" s="180">
        <v>45</v>
      </c>
      <c r="Z11" s="180">
        <v>39</v>
      </c>
      <c r="AA11" s="180">
        <v>13.6</v>
      </c>
      <c r="AB11" s="156">
        <v>10.2</v>
      </c>
      <c r="AC11" s="180">
        <v>67.1</v>
      </c>
      <c r="AD11" s="180">
        <v>12.4</v>
      </c>
      <c r="AE11" s="180">
        <v>26.6</v>
      </c>
      <c r="AF11" s="180">
        <v>62.9</v>
      </c>
      <c r="AG11" s="180">
        <v>24.8</v>
      </c>
      <c r="AH11" s="180">
        <v>4.1</v>
      </c>
      <c r="AI11" s="180">
        <v>22</v>
      </c>
      <c r="AJ11" s="180">
        <v>37.7</v>
      </c>
      <c r="AK11" s="180">
        <v>14.6</v>
      </c>
      <c r="AL11" s="180">
        <v>4.5</v>
      </c>
      <c r="AM11" s="180">
        <v>28.4</v>
      </c>
      <c r="AN11" s="180">
        <v>58.5</v>
      </c>
      <c r="AO11" s="180">
        <v>83.4</v>
      </c>
      <c r="AP11" s="180">
        <v>35.2</v>
      </c>
      <c r="AQ11" s="180">
        <v>11.6</v>
      </c>
      <c r="AR11" s="180">
        <v>0</v>
      </c>
      <c r="AS11" s="180">
        <v>0</v>
      </c>
      <c r="AT11" s="222"/>
      <c r="AU11" s="243">
        <f t="shared" si="3"/>
        <v>36.81715025436745</v>
      </c>
      <c r="AV11" s="249"/>
      <c r="AW11" s="243">
        <f t="shared" si="4"/>
        <v>32.74106955488827</v>
      </c>
      <c r="AX11" s="243">
        <f t="shared" si="5"/>
        <v>37.7505679450203</v>
      </c>
    </row>
    <row r="12" spans="1:50" ht="12.75" customHeight="1">
      <c r="A12" s="174" t="s">
        <v>175</v>
      </c>
      <c r="B12" s="140"/>
      <c r="C12" s="180">
        <v>1.2</v>
      </c>
      <c r="D12" s="180">
        <v>1</v>
      </c>
      <c r="E12" s="180">
        <v>2.7</v>
      </c>
      <c r="F12" s="180">
        <v>10.2</v>
      </c>
      <c r="G12" s="180">
        <v>1.9</v>
      </c>
      <c r="H12" s="180">
        <v>1.9</v>
      </c>
      <c r="I12" s="180">
        <v>1.5</v>
      </c>
      <c r="J12" s="180">
        <v>3.4</v>
      </c>
      <c r="K12" s="180">
        <v>1.5</v>
      </c>
      <c r="L12" s="180">
        <v>3.8</v>
      </c>
      <c r="M12" s="180">
        <v>6.3</v>
      </c>
      <c r="N12" s="180">
        <v>0.2</v>
      </c>
      <c r="O12" s="180">
        <v>0</v>
      </c>
      <c r="P12" s="180">
        <v>6</v>
      </c>
      <c r="Q12" s="180">
        <v>0.3</v>
      </c>
      <c r="R12" s="180">
        <v>0</v>
      </c>
      <c r="S12" s="180">
        <v>6.3</v>
      </c>
      <c r="T12" s="180">
        <v>2.3</v>
      </c>
      <c r="U12" s="180">
        <v>21.1</v>
      </c>
      <c r="V12" s="180">
        <v>6.6</v>
      </c>
      <c r="W12" s="180">
        <v>6.6</v>
      </c>
      <c r="X12" s="180">
        <v>1.7</v>
      </c>
      <c r="Y12" s="180">
        <v>0.1</v>
      </c>
      <c r="Z12" s="180">
        <v>1.2</v>
      </c>
      <c r="AA12" s="180">
        <v>2.6</v>
      </c>
      <c r="AB12" s="156">
        <v>3</v>
      </c>
      <c r="AC12" s="180">
        <v>0</v>
      </c>
      <c r="AD12" s="180">
        <v>14.2</v>
      </c>
      <c r="AE12" s="180">
        <v>0</v>
      </c>
      <c r="AF12" s="180">
        <v>0</v>
      </c>
      <c r="AG12" s="180">
        <v>0.3</v>
      </c>
      <c r="AH12" s="180">
        <v>15.8</v>
      </c>
      <c r="AI12" s="180">
        <v>0</v>
      </c>
      <c r="AJ12" s="180">
        <v>0.9</v>
      </c>
      <c r="AK12" s="180">
        <v>10.6</v>
      </c>
      <c r="AL12" s="180">
        <v>15.9</v>
      </c>
      <c r="AM12" s="180">
        <v>0.7</v>
      </c>
      <c r="AN12" s="180">
        <v>0</v>
      </c>
      <c r="AO12" s="180">
        <v>0</v>
      </c>
      <c r="AP12" s="180">
        <v>0.3</v>
      </c>
      <c r="AQ12" s="180">
        <v>0</v>
      </c>
      <c r="AR12" s="180">
        <v>48.1</v>
      </c>
      <c r="AS12" s="180">
        <v>0</v>
      </c>
      <c r="AT12" s="222"/>
      <c r="AU12" s="243">
        <f t="shared" si="3"/>
        <v>3.6502754693884683</v>
      </c>
      <c r="AV12" s="249"/>
      <c r="AW12" s="243">
        <f t="shared" si="4"/>
        <v>0.9454244786682556</v>
      </c>
      <c r="AX12" s="243">
        <f t="shared" si="5"/>
        <v>4.2696831679751845</v>
      </c>
    </row>
    <row r="13" spans="1:50" ht="12.75" customHeight="1">
      <c r="A13" s="174" t="s">
        <v>176</v>
      </c>
      <c r="B13" s="140"/>
      <c r="C13" s="180">
        <v>2.8</v>
      </c>
      <c r="D13" s="180">
        <v>5.7</v>
      </c>
      <c r="E13" s="180">
        <v>1.6</v>
      </c>
      <c r="F13" s="180">
        <v>2.8</v>
      </c>
      <c r="G13" s="180">
        <v>2</v>
      </c>
      <c r="H13" s="180">
        <v>2</v>
      </c>
      <c r="I13" s="180">
        <v>2.8</v>
      </c>
      <c r="J13" s="180">
        <v>2.9</v>
      </c>
      <c r="K13" s="180">
        <v>3</v>
      </c>
      <c r="L13" s="180">
        <v>0.6</v>
      </c>
      <c r="M13" s="180">
        <v>1.7</v>
      </c>
      <c r="N13" s="180">
        <v>1.4</v>
      </c>
      <c r="O13" s="180">
        <v>0.8</v>
      </c>
      <c r="P13" s="180">
        <v>1.5</v>
      </c>
      <c r="Q13" s="180">
        <v>73.7</v>
      </c>
      <c r="R13" s="180">
        <v>8.5</v>
      </c>
      <c r="S13" s="180">
        <v>1.6</v>
      </c>
      <c r="T13" s="180">
        <v>5.5</v>
      </c>
      <c r="U13" s="180">
        <v>3.9</v>
      </c>
      <c r="V13" s="180">
        <v>1.7</v>
      </c>
      <c r="W13" s="180">
        <v>1.7</v>
      </c>
      <c r="X13" s="180">
        <v>2.8</v>
      </c>
      <c r="Y13" s="180">
        <v>4.2</v>
      </c>
      <c r="Z13" s="180">
        <v>3.9</v>
      </c>
      <c r="AA13" s="180">
        <v>3.4</v>
      </c>
      <c r="AB13" s="156">
        <v>3.7</v>
      </c>
      <c r="AC13" s="180">
        <v>8.4</v>
      </c>
      <c r="AD13" s="180">
        <v>3.4</v>
      </c>
      <c r="AE13" s="180">
        <v>2.1</v>
      </c>
      <c r="AF13" s="180">
        <v>11.6</v>
      </c>
      <c r="AG13" s="180">
        <v>24.4</v>
      </c>
      <c r="AH13" s="180">
        <v>0</v>
      </c>
      <c r="AI13" s="180">
        <v>2</v>
      </c>
      <c r="AJ13" s="180">
        <v>0</v>
      </c>
      <c r="AK13" s="180">
        <v>3.5</v>
      </c>
      <c r="AL13" s="180">
        <v>2.1</v>
      </c>
      <c r="AM13" s="180">
        <v>11.5</v>
      </c>
      <c r="AN13" s="180">
        <v>0</v>
      </c>
      <c r="AO13" s="180">
        <v>8.7</v>
      </c>
      <c r="AP13" s="180">
        <v>6.3</v>
      </c>
      <c r="AQ13" s="180">
        <v>16.3</v>
      </c>
      <c r="AR13" s="180">
        <v>0</v>
      </c>
      <c r="AS13" s="180">
        <v>54</v>
      </c>
      <c r="AT13" s="222"/>
      <c r="AU13" s="243">
        <f t="shared" si="3"/>
        <v>4.829459594850106</v>
      </c>
      <c r="AV13" s="249"/>
      <c r="AW13" s="243">
        <f t="shared" si="4"/>
        <v>15.28050558379363</v>
      </c>
      <c r="AX13" s="243">
        <f t="shared" si="5"/>
        <v>2.4361823437022507</v>
      </c>
    </row>
    <row r="14" spans="1:50" ht="12.75" customHeight="1">
      <c r="A14" s="174" t="s">
        <v>177</v>
      </c>
      <c r="B14" s="140"/>
      <c r="C14" s="180">
        <v>14.8</v>
      </c>
      <c r="D14" s="180">
        <v>14.3</v>
      </c>
      <c r="E14" s="180">
        <v>13.5</v>
      </c>
      <c r="F14" s="180">
        <v>4.7</v>
      </c>
      <c r="G14" s="180">
        <v>12.1</v>
      </c>
      <c r="H14" s="180">
        <v>12.1</v>
      </c>
      <c r="I14" s="180">
        <v>9.5</v>
      </c>
      <c r="J14" s="180">
        <v>13.2</v>
      </c>
      <c r="K14" s="180">
        <v>13.9</v>
      </c>
      <c r="L14" s="180">
        <v>1.3</v>
      </c>
      <c r="M14" s="180">
        <v>13.3</v>
      </c>
      <c r="N14" s="180">
        <v>0.2</v>
      </c>
      <c r="O14" s="180">
        <v>3.2</v>
      </c>
      <c r="P14" s="180">
        <v>1.9</v>
      </c>
      <c r="Q14" s="180">
        <v>2.7</v>
      </c>
      <c r="R14" s="180">
        <v>4.2</v>
      </c>
      <c r="S14" s="180">
        <v>10.2</v>
      </c>
      <c r="T14" s="180">
        <v>13.4</v>
      </c>
      <c r="U14" s="180">
        <v>0</v>
      </c>
      <c r="V14" s="180">
        <v>17.2</v>
      </c>
      <c r="W14" s="180">
        <v>17.2</v>
      </c>
      <c r="X14" s="180">
        <v>1.5</v>
      </c>
      <c r="Y14" s="180">
        <v>0</v>
      </c>
      <c r="Z14" s="180">
        <v>10.2</v>
      </c>
      <c r="AA14" s="180">
        <v>1.6</v>
      </c>
      <c r="AB14" s="156">
        <v>16.6</v>
      </c>
      <c r="AC14" s="180">
        <v>2.5</v>
      </c>
      <c r="AD14" s="180">
        <v>0.6</v>
      </c>
      <c r="AE14" s="180">
        <v>0</v>
      </c>
      <c r="AF14" s="180">
        <v>1</v>
      </c>
      <c r="AG14" s="180">
        <v>0</v>
      </c>
      <c r="AH14" s="180">
        <v>0</v>
      </c>
      <c r="AI14" s="180">
        <v>6.8</v>
      </c>
      <c r="AJ14" s="180">
        <v>11.5</v>
      </c>
      <c r="AK14" s="180">
        <v>4.1</v>
      </c>
      <c r="AL14" s="180">
        <v>2.4</v>
      </c>
      <c r="AM14" s="180">
        <v>1.6</v>
      </c>
      <c r="AN14" s="180">
        <v>2.4</v>
      </c>
      <c r="AO14" s="180">
        <v>2.5</v>
      </c>
      <c r="AP14" s="180">
        <v>7.4</v>
      </c>
      <c r="AQ14" s="180">
        <v>2.5</v>
      </c>
      <c r="AR14" s="180">
        <v>51.9</v>
      </c>
      <c r="AS14" s="180">
        <v>46</v>
      </c>
      <c r="AT14" s="222"/>
      <c r="AU14" s="243">
        <f t="shared" si="3"/>
        <v>9.136413426424184</v>
      </c>
      <c r="AV14" s="249"/>
      <c r="AW14" s="243">
        <f t="shared" si="4"/>
        <v>11.45184959437488</v>
      </c>
      <c r="AX14" s="243">
        <f t="shared" si="5"/>
        <v>8.606181264676561</v>
      </c>
    </row>
    <row r="15" spans="1:50" ht="12.75" customHeight="1">
      <c r="A15" s="174" t="s">
        <v>178</v>
      </c>
      <c r="B15" s="140"/>
      <c r="C15" s="180">
        <v>0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80">
        <v>1.5</v>
      </c>
      <c r="M15" s="180">
        <v>2.7</v>
      </c>
      <c r="N15" s="180">
        <v>0</v>
      </c>
      <c r="O15" s="180">
        <v>0</v>
      </c>
      <c r="P15" s="180">
        <v>0.8</v>
      </c>
      <c r="Q15" s="180">
        <v>0</v>
      </c>
      <c r="R15" s="180">
        <v>14.2</v>
      </c>
      <c r="S15" s="180">
        <v>0</v>
      </c>
      <c r="T15" s="180">
        <v>5.3</v>
      </c>
      <c r="U15" s="180">
        <v>0</v>
      </c>
      <c r="V15" s="180">
        <v>2.9</v>
      </c>
      <c r="W15" s="180">
        <v>2.9</v>
      </c>
      <c r="X15" s="180">
        <v>0</v>
      </c>
      <c r="Y15" s="180">
        <v>7.4</v>
      </c>
      <c r="Z15" s="180">
        <v>0</v>
      </c>
      <c r="AA15" s="180">
        <v>1.8</v>
      </c>
      <c r="AB15" s="156">
        <v>0</v>
      </c>
      <c r="AC15" s="180">
        <v>0</v>
      </c>
      <c r="AD15" s="180">
        <v>0</v>
      </c>
      <c r="AE15" s="180">
        <v>0</v>
      </c>
      <c r="AF15" s="180">
        <v>0</v>
      </c>
      <c r="AG15" s="180">
        <v>0</v>
      </c>
      <c r="AH15" s="180">
        <v>0</v>
      </c>
      <c r="AI15" s="180">
        <v>0</v>
      </c>
      <c r="AJ15" s="180">
        <v>0</v>
      </c>
      <c r="AK15" s="180">
        <v>0</v>
      </c>
      <c r="AL15" s="180">
        <v>0</v>
      </c>
      <c r="AM15" s="180">
        <v>57.7</v>
      </c>
      <c r="AN15" s="180">
        <v>3.4</v>
      </c>
      <c r="AO15" s="180">
        <v>0</v>
      </c>
      <c r="AP15" s="180">
        <v>7.7</v>
      </c>
      <c r="AQ15" s="180">
        <v>0</v>
      </c>
      <c r="AR15" s="180">
        <v>0</v>
      </c>
      <c r="AS15" s="180">
        <v>0</v>
      </c>
      <c r="AT15" s="222"/>
      <c r="AU15" s="243">
        <f t="shared" si="3"/>
        <v>0.8293702628323513</v>
      </c>
      <c r="AV15" s="249"/>
      <c r="AW15" s="243">
        <f t="shared" si="4"/>
        <v>0.01813677063349882</v>
      </c>
      <c r="AX15" s="243">
        <f t="shared" si="5"/>
        <v>1.0151417793200528</v>
      </c>
    </row>
    <row r="16" spans="1:50" s="39" customFormat="1" ht="12.75" customHeight="1">
      <c r="A16" s="194" t="s">
        <v>179</v>
      </c>
      <c r="B16" s="140">
        <v>3</v>
      </c>
      <c r="C16" s="225">
        <f>SUM(C10:C15)</f>
        <v>100</v>
      </c>
      <c r="D16" s="225">
        <f aca="true" t="shared" si="6" ref="D16:AS16">SUM(D10:D15)</f>
        <v>100</v>
      </c>
      <c r="E16" s="225">
        <f t="shared" si="6"/>
        <v>100</v>
      </c>
      <c r="F16" s="225">
        <f t="shared" si="6"/>
        <v>100</v>
      </c>
      <c r="G16" s="225">
        <f t="shared" si="6"/>
        <v>100</v>
      </c>
      <c r="H16" s="225">
        <f t="shared" si="6"/>
        <v>100</v>
      </c>
      <c r="I16" s="225">
        <f t="shared" si="6"/>
        <v>100</v>
      </c>
      <c r="J16" s="225">
        <f t="shared" si="6"/>
        <v>100.00000000000001</v>
      </c>
      <c r="K16" s="225">
        <f t="shared" si="6"/>
        <v>100</v>
      </c>
      <c r="L16" s="225">
        <f>SUM(L10:L15)</f>
        <v>100</v>
      </c>
      <c r="M16" s="225">
        <f t="shared" si="6"/>
        <v>100</v>
      </c>
      <c r="N16" s="225">
        <f t="shared" si="6"/>
        <v>100.00000000000001</v>
      </c>
      <c r="O16" s="225">
        <f t="shared" si="6"/>
        <v>100</v>
      </c>
      <c r="P16" s="225">
        <f t="shared" si="6"/>
        <v>100</v>
      </c>
      <c r="Q16" s="225">
        <f>SUM(Q10:Q15)</f>
        <v>100.00000000000001</v>
      </c>
      <c r="R16" s="225">
        <f t="shared" si="6"/>
        <v>100</v>
      </c>
      <c r="S16" s="225">
        <f t="shared" si="6"/>
        <v>100</v>
      </c>
      <c r="T16" s="225">
        <f t="shared" si="6"/>
        <v>100</v>
      </c>
      <c r="U16" s="225">
        <f>SUM(U10:U15)</f>
        <v>100</v>
      </c>
      <c r="V16" s="225">
        <f t="shared" si="6"/>
        <v>100</v>
      </c>
      <c r="W16" s="225">
        <f t="shared" si="6"/>
        <v>100</v>
      </c>
      <c r="X16" s="225">
        <f>SUM(X10:X15)</f>
        <v>100</v>
      </c>
      <c r="Y16" s="225">
        <f>SUM(Y10:Y15)</f>
        <v>100</v>
      </c>
      <c r="Z16" s="225">
        <f t="shared" si="6"/>
        <v>100.00000000000001</v>
      </c>
      <c r="AA16" s="225">
        <f t="shared" si="6"/>
        <v>99.99999999999999</v>
      </c>
      <c r="AB16" s="225">
        <f t="shared" si="6"/>
        <v>100</v>
      </c>
      <c r="AC16" s="225">
        <f t="shared" si="6"/>
        <v>100</v>
      </c>
      <c r="AD16" s="225">
        <f>SUM(AD10:AD15)</f>
        <v>100.00000000000001</v>
      </c>
      <c r="AE16" s="225">
        <f t="shared" si="6"/>
        <v>100</v>
      </c>
      <c r="AF16" s="225">
        <f>SUM(AF10:AF15)</f>
        <v>100</v>
      </c>
      <c r="AG16" s="225">
        <f t="shared" si="6"/>
        <v>100</v>
      </c>
      <c r="AH16" s="225">
        <f aca="true" t="shared" si="7" ref="AH16:AP16">SUM(AH10:AH15)</f>
        <v>99.99999999999999</v>
      </c>
      <c r="AI16" s="225">
        <f t="shared" si="7"/>
        <v>100</v>
      </c>
      <c r="AJ16" s="225">
        <f>SUM(AJ10:AJ15)</f>
        <v>100</v>
      </c>
      <c r="AK16" s="225">
        <f t="shared" si="7"/>
        <v>99.99999999999999</v>
      </c>
      <c r="AL16" s="225">
        <f t="shared" si="7"/>
        <v>100</v>
      </c>
      <c r="AM16" s="225">
        <f t="shared" si="7"/>
        <v>100</v>
      </c>
      <c r="AN16" s="225">
        <f t="shared" si="7"/>
        <v>100.00000000000001</v>
      </c>
      <c r="AO16" s="225">
        <f t="shared" si="7"/>
        <v>100.00000000000001</v>
      </c>
      <c r="AP16" s="225">
        <f t="shared" si="7"/>
        <v>100.00000000000001</v>
      </c>
      <c r="AQ16" s="225">
        <f t="shared" si="6"/>
        <v>99.99999999999999</v>
      </c>
      <c r="AR16" s="225">
        <f t="shared" si="6"/>
        <v>100</v>
      </c>
      <c r="AS16" s="225">
        <f t="shared" si="6"/>
        <v>100</v>
      </c>
      <c r="AT16" s="250"/>
      <c r="AU16" s="243">
        <f>SUM(AU10:AU15)</f>
        <v>100</v>
      </c>
      <c r="AV16" s="243"/>
      <c r="AW16" s="243">
        <f>SUM(AW10:AW15)</f>
        <v>99.99999999999999</v>
      </c>
      <c r="AX16" s="243">
        <f>SUM(AX10:AX15)</f>
        <v>100.00000000000001</v>
      </c>
    </row>
    <row r="17" spans="1:50" s="39" customFormat="1" ht="12.75" customHeight="1">
      <c r="A17" s="194"/>
      <c r="B17" s="140"/>
      <c r="C17" s="225"/>
      <c r="D17" s="225"/>
      <c r="E17" s="226"/>
      <c r="F17" s="225"/>
      <c r="G17" s="226"/>
      <c r="H17" s="226"/>
      <c r="I17" s="225"/>
      <c r="J17" s="225"/>
      <c r="K17" s="225"/>
      <c r="L17" s="226"/>
      <c r="M17" s="226"/>
      <c r="N17" s="225"/>
      <c r="O17" s="225"/>
      <c r="P17" s="226"/>
      <c r="Q17" s="225"/>
      <c r="R17" s="225"/>
      <c r="S17" s="225"/>
      <c r="T17" s="226"/>
      <c r="U17" s="226"/>
      <c r="V17" s="226"/>
      <c r="W17" s="226"/>
      <c r="X17" s="225"/>
      <c r="Y17" s="226"/>
      <c r="Z17" s="225"/>
      <c r="AA17" s="226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6"/>
      <c r="AN17" s="226"/>
      <c r="AO17" s="225"/>
      <c r="AP17" s="226"/>
      <c r="AQ17" s="225"/>
      <c r="AR17" s="225"/>
      <c r="AS17" s="225"/>
      <c r="AT17" s="250"/>
      <c r="AU17" s="251"/>
      <c r="AV17" s="252"/>
      <c r="AW17" s="251"/>
      <c r="AX17" s="251"/>
    </row>
    <row r="18" spans="1:50" ht="12.75" customHeight="1">
      <c r="A18" s="223" t="s">
        <v>180</v>
      </c>
      <c r="B18" s="140"/>
      <c r="C18" s="180">
        <v>68.6</v>
      </c>
      <c r="D18" s="180">
        <v>69.2</v>
      </c>
      <c r="E18" s="180">
        <v>67.6</v>
      </c>
      <c r="F18" s="180">
        <v>87</v>
      </c>
      <c r="G18" s="180">
        <v>67.7</v>
      </c>
      <c r="H18" s="180">
        <v>67.7</v>
      </c>
      <c r="I18" s="180">
        <v>71</v>
      </c>
      <c r="J18" s="180">
        <v>98.3</v>
      </c>
      <c r="K18" s="180">
        <v>76.3</v>
      </c>
      <c r="L18" s="180">
        <v>63</v>
      </c>
      <c r="M18" s="180">
        <v>76.4</v>
      </c>
      <c r="N18" s="180">
        <v>69.2</v>
      </c>
      <c r="O18" s="180">
        <v>75.7</v>
      </c>
      <c r="P18" s="180">
        <v>73.5</v>
      </c>
      <c r="Q18" s="180">
        <v>98.3</v>
      </c>
      <c r="R18" s="180">
        <v>100</v>
      </c>
      <c r="S18" s="180">
        <v>76</v>
      </c>
      <c r="T18" s="180">
        <v>74.2</v>
      </c>
      <c r="U18" s="180">
        <v>73.7</v>
      </c>
      <c r="V18" s="180">
        <v>73.8</v>
      </c>
      <c r="W18" s="180">
        <v>73.8</v>
      </c>
      <c r="X18" s="180">
        <v>85.3</v>
      </c>
      <c r="Y18" s="180">
        <v>65</v>
      </c>
      <c r="Z18" s="180">
        <v>66.5</v>
      </c>
      <c r="AA18" s="180">
        <v>76.8</v>
      </c>
      <c r="AB18" s="156">
        <v>76.2</v>
      </c>
      <c r="AC18" s="180">
        <v>97.9</v>
      </c>
      <c r="AD18" s="180">
        <v>85.2</v>
      </c>
      <c r="AE18" s="180">
        <v>97.4</v>
      </c>
      <c r="AF18" s="180">
        <v>85</v>
      </c>
      <c r="AG18" s="180">
        <v>83.4</v>
      </c>
      <c r="AH18" s="180">
        <v>75.1</v>
      </c>
      <c r="AI18" s="180">
        <v>69.8</v>
      </c>
      <c r="AJ18" s="180">
        <v>73.9</v>
      </c>
      <c r="AK18" s="180">
        <v>75.3</v>
      </c>
      <c r="AL18" s="180">
        <v>84.1</v>
      </c>
      <c r="AM18" s="180">
        <v>99.3</v>
      </c>
      <c r="AN18" s="180">
        <v>97.5</v>
      </c>
      <c r="AO18" s="180">
        <v>100</v>
      </c>
      <c r="AP18" s="180">
        <v>94</v>
      </c>
      <c r="AQ18" s="180">
        <v>100</v>
      </c>
      <c r="AR18" s="180">
        <v>100</v>
      </c>
      <c r="AS18" s="180">
        <v>100</v>
      </c>
      <c r="AT18" s="222"/>
      <c r="AU18" s="243">
        <f>+AU98/$AU$100*100</f>
        <v>74.61788962186503</v>
      </c>
      <c r="AV18" s="249"/>
      <c r="AW18" s="243">
        <f>+AW98/$AW$100*100</f>
        <v>74.42447487340812</v>
      </c>
      <c r="AX18" s="243">
        <f>+AX98/$AX$100*100</f>
        <v>74.66218137199301</v>
      </c>
    </row>
    <row r="19" spans="1:50" ht="12.75" customHeight="1">
      <c r="A19" s="174" t="s">
        <v>181</v>
      </c>
      <c r="B19" s="224"/>
      <c r="C19" s="180">
        <v>31.4</v>
      </c>
      <c r="D19" s="180">
        <v>30.8</v>
      </c>
      <c r="E19" s="180">
        <v>32.4</v>
      </c>
      <c r="F19" s="180">
        <v>13</v>
      </c>
      <c r="G19" s="180">
        <v>32.3</v>
      </c>
      <c r="H19" s="180">
        <v>32.3</v>
      </c>
      <c r="I19" s="180">
        <v>29</v>
      </c>
      <c r="J19" s="180">
        <v>1.7</v>
      </c>
      <c r="K19" s="180">
        <v>23.7</v>
      </c>
      <c r="L19" s="180">
        <v>37</v>
      </c>
      <c r="M19" s="180">
        <v>23.6</v>
      </c>
      <c r="N19" s="180">
        <v>30.8</v>
      </c>
      <c r="O19" s="180">
        <v>24.3</v>
      </c>
      <c r="P19" s="180">
        <v>26.5</v>
      </c>
      <c r="Q19" s="180">
        <v>1.7</v>
      </c>
      <c r="R19" s="180">
        <v>0</v>
      </c>
      <c r="S19" s="180">
        <v>24</v>
      </c>
      <c r="T19" s="180">
        <v>25.8</v>
      </c>
      <c r="U19" s="180">
        <v>26.3</v>
      </c>
      <c r="V19" s="180">
        <v>26.2</v>
      </c>
      <c r="W19" s="180">
        <v>26.2</v>
      </c>
      <c r="X19" s="180">
        <v>14.7</v>
      </c>
      <c r="Y19" s="180">
        <v>35</v>
      </c>
      <c r="Z19" s="180">
        <v>33.5</v>
      </c>
      <c r="AA19" s="180">
        <v>23.2</v>
      </c>
      <c r="AB19" s="156">
        <v>23.8</v>
      </c>
      <c r="AC19" s="180">
        <v>2.1</v>
      </c>
      <c r="AD19" s="180">
        <v>14.8</v>
      </c>
      <c r="AE19" s="180">
        <v>2.6</v>
      </c>
      <c r="AF19" s="180">
        <v>15</v>
      </c>
      <c r="AG19" s="180">
        <v>16.6</v>
      </c>
      <c r="AH19" s="180">
        <v>24.9</v>
      </c>
      <c r="AI19" s="180">
        <v>30.2</v>
      </c>
      <c r="AJ19" s="180">
        <v>26.1</v>
      </c>
      <c r="AK19" s="180">
        <v>24.7</v>
      </c>
      <c r="AL19" s="180">
        <v>15.9</v>
      </c>
      <c r="AM19" s="180">
        <v>0.7</v>
      </c>
      <c r="AN19" s="180">
        <v>2.5</v>
      </c>
      <c r="AO19" s="180">
        <v>0</v>
      </c>
      <c r="AP19" s="180">
        <v>6</v>
      </c>
      <c r="AQ19" s="180">
        <v>0</v>
      </c>
      <c r="AR19" s="180">
        <v>0</v>
      </c>
      <c r="AS19" s="180">
        <v>0</v>
      </c>
      <c r="AT19" s="222"/>
      <c r="AU19" s="243">
        <f>+AU99/$AU$100*100</f>
        <v>25.38211037813497</v>
      </c>
      <c r="AV19" s="249"/>
      <c r="AW19" s="243">
        <f>+AW99/$AW$100*100</f>
        <v>25.5755251265919</v>
      </c>
      <c r="AX19" s="243">
        <f>+AX99/$AX$100*100</f>
        <v>25.337818628006982</v>
      </c>
    </row>
    <row r="20" spans="1:50" s="39" customFormat="1" ht="12.75" customHeight="1">
      <c r="A20" s="194" t="s">
        <v>182</v>
      </c>
      <c r="B20" s="140">
        <v>4</v>
      </c>
      <c r="C20" s="226">
        <f aca="true" t="shared" si="8" ref="C20:AS20">SUM(C18:C19)</f>
        <v>100</v>
      </c>
      <c r="D20" s="226">
        <f t="shared" si="8"/>
        <v>100</v>
      </c>
      <c r="E20" s="226">
        <f t="shared" si="8"/>
        <v>100</v>
      </c>
      <c r="F20" s="226">
        <f t="shared" si="8"/>
        <v>100</v>
      </c>
      <c r="G20" s="226">
        <f t="shared" si="8"/>
        <v>100</v>
      </c>
      <c r="H20" s="226">
        <f t="shared" si="8"/>
        <v>100</v>
      </c>
      <c r="I20" s="226">
        <f t="shared" si="8"/>
        <v>100</v>
      </c>
      <c r="J20" s="226">
        <f t="shared" si="8"/>
        <v>100</v>
      </c>
      <c r="K20" s="226">
        <f t="shared" si="8"/>
        <v>100</v>
      </c>
      <c r="L20" s="226">
        <f>SUM(L18:L19)</f>
        <v>100</v>
      </c>
      <c r="M20" s="226">
        <f t="shared" si="8"/>
        <v>100</v>
      </c>
      <c r="N20" s="226">
        <f t="shared" si="8"/>
        <v>100</v>
      </c>
      <c r="O20" s="226">
        <f t="shared" si="8"/>
        <v>100</v>
      </c>
      <c r="P20" s="226">
        <f t="shared" si="8"/>
        <v>100</v>
      </c>
      <c r="Q20" s="226">
        <f>SUM(Q18:Q19)</f>
        <v>100</v>
      </c>
      <c r="R20" s="226">
        <f t="shared" si="8"/>
        <v>100</v>
      </c>
      <c r="S20" s="226">
        <f t="shared" si="8"/>
        <v>100</v>
      </c>
      <c r="T20" s="226">
        <f t="shared" si="8"/>
        <v>100</v>
      </c>
      <c r="U20" s="226">
        <f>SUM(U18:U19)</f>
        <v>100</v>
      </c>
      <c r="V20" s="226">
        <f t="shared" si="8"/>
        <v>100</v>
      </c>
      <c r="W20" s="226">
        <f t="shared" si="8"/>
        <v>100</v>
      </c>
      <c r="X20" s="226">
        <f>SUM(X18:X19)</f>
        <v>100</v>
      </c>
      <c r="Y20" s="226">
        <f>SUM(Y18:Y19)</f>
        <v>100</v>
      </c>
      <c r="Z20" s="226">
        <f t="shared" si="8"/>
        <v>100</v>
      </c>
      <c r="AA20" s="226">
        <f t="shared" si="8"/>
        <v>100</v>
      </c>
      <c r="AB20" s="226">
        <f t="shared" si="8"/>
        <v>100</v>
      </c>
      <c r="AC20" s="226">
        <f t="shared" si="8"/>
        <v>100</v>
      </c>
      <c r="AD20" s="226">
        <f>SUM(AD18:AD19)</f>
        <v>100</v>
      </c>
      <c r="AE20" s="226">
        <f t="shared" si="8"/>
        <v>100</v>
      </c>
      <c r="AF20" s="226">
        <f>SUM(AF18:AF19)</f>
        <v>100</v>
      </c>
      <c r="AG20" s="226">
        <f t="shared" si="8"/>
        <v>100</v>
      </c>
      <c r="AH20" s="226">
        <f aca="true" t="shared" si="9" ref="AH20:AP20">SUM(AH18:AH19)</f>
        <v>100</v>
      </c>
      <c r="AI20" s="226">
        <f t="shared" si="9"/>
        <v>100</v>
      </c>
      <c r="AJ20" s="226">
        <f>SUM(AJ18:AJ19)</f>
        <v>100</v>
      </c>
      <c r="AK20" s="226">
        <f t="shared" si="9"/>
        <v>100</v>
      </c>
      <c r="AL20" s="226">
        <f t="shared" si="9"/>
        <v>100</v>
      </c>
      <c r="AM20" s="226">
        <f t="shared" si="9"/>
        <v>100</v>
      </c>
      <c r="AN20" s="226">
        <f t="shared" si="9"/>
        <v>100</v>
      </c>
      <c r="AO20" s="226">
        <f t="shared" si="9"/>
        <v>100</v>
      </c>
      <c r="AP20" s="226">
        <f t="shared" si="9"/>
        <v>100</v>
      </c>
      <c r="AQ20" s="226">
        <f t="shared" si="8"/>
        <v>100</v>
      </c>
      <c r="AR20" s="226">
        <f t="shared" si="8"/>
        <v>100</v>
      </c>
      <c r="AS20" s="226">
        <f t="shared" si="8"/>
        <v>100</v>
      </c>
      <c r="AT20" s="250"/>
      <c r="AU20" s="243">
        <f>SUM(AU18:AU19)</f>
        <v>100</v>
      </c>
      <c r="AV20" s="249"/>
      <c r="AW20" s="243">
        <f>SUM(AW18:AW19)</f>
        <v>100.00000000000001</v>
      </c>
      <c r="AX20" s="243">
        <f>SUM(AX18:AX19)</f>
        <v>100</v>
      </c>
    </row>
    <row r="21" spans="1:50" s="39" customFormat="1" ht="12.75" customHeight="1">
      <c r="A21" s="194"/>
      <c r="B21" s="224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5"/>
      <c r="AK21" s="226"/>
      <c r="AL21" s="226"/>
      <c r="AM21" s="226"/>
      <c r="AN21" s="226"/>
      <c r="AO21" s="226"/>
      <c r="AP21" s="226"/>
      <c r="AQ21" s="225"/>
      <c r="AR21" s="225"/>
      <c r="AS21" s="226"/>
      <c r="AT21" s="250"/>
      <c r="AU21" s="251"/>
      <c r="AV21" s="252"/>
      <c r="AW21" s="251"/>
      <c r="AX21" s="251"/>
    </row>
    <row r="22" spans="1:53" s="31" customFormat="1" ht="12.75" customHeight="1">
      <c r="A22" s="174" t="s">
        <v>183</v>
      </c>
      <c r="B22" s="140">
        <v>5</v>
      </c>
      <c r="C22" s="179">
        <v>21012</v>
      </c>
      <c r="D22" s="179">
        <v>6643</v>
      </c>
      <c r="E22" s="179">
        <v>32971</v>
      </c>
      <c r="F22" s="179">
        <v>25101</v>
      </c>
      <c r="G22" s="179">
        <v>5417</v>
      </c>
      <c r="H22" s="179">
        <v>6660</v>
      </c>
      <c r="I22" s="179">
        <v>5699</v>
      </c>
      <c r="J22" s="179">
        <v>0</v>
      </c>
      <c r="K22" s="179">
        <v>5699</v>
      </c>
      <c r="L22" s="179">
        <v>21298</v>
      </c>
      <c r="M22" s="179">
        <v>7327</v>
      </c>
      <c r="N22" s="179">
        <v>7637</v>
      </c>
      <c r="O22" s="179">
        <v>7001</v>
      </c>
      <c r="P22" s="179">
        <v>10500</v>
      </c>
      <c r="Q22" s="179">
        <v>1090</v>
      </c>
      <c r="R22" s="179">
        <v>529</v>
      </c>
      <c r="S22" s="179">
        <v>2013</v>
      </c>
      <c r="T22" s="179">
        <v>2406</v>
      </c>
      <c r="U22" s="179">
        <v>4964</v>
      </c>
      <c r="V22" s="179">
        <v>8407</v>
      </c>
      <c r="W22" s="179">
        <v>2543</v>
      </c>
      <c r="X22" s="179">
        <v>3286</v>
      </c>
      <c r="Y22" s="179">
        <v>1452</v>
      </c>
      <c r="Z22" s="179">
        <v>689</v>
      </c>
      <c r="AA22" s="179">
        <v>3117</v>
      </c>
      <c r="AB22" s="181">
        <v>579</v>
      </c>
      <c r="AC22" s="179">
        <v>173</v>
      </c>
      <c r="AD22" s="179">
        <v>0</v>
      </c>
      <c r="AE22" s="179">
        <v>189</v>
      </c>
      <c r="AF22" s="179">
        <v>185</v>
      </c>
      <c r="AG22" s="179">
        <v>768</v>
      </c>
      <c r="AH22" s="179">
        <v>199</v>
      </c>
      <c r="AI22" s="179">
        <v>163</v>
      </c>
      <c r="AJ22" s="179">
        <v>187</v>
      </c>
      <c r="AK22" s="179">
        <v>65</v>
      </c>
      <c r="AL22" s="179">
        <v>78</v>
      </c>
      <c r="AM22" s="179">
        <v>3986</v>
      </c>
      <c r="AN22" s="179">
        <v>26</v>
      </c>
      <c r="AO22" s="179">
        <v>0</v>
      </c>
      <c r="AP22" s="179">
        <v>13</v>
      </c>
      <c r="AQ22" s="179">
        <v>0</v>
      </c>
      <c r="AR22" s="179">
        <v>719</v>
      </c>
      <c r="AS22" s="179">
        <v>0</v>
      </c>
      <c r="AT22" s="167"/>
      <c r="AU22" s="164">
        <f>SUM(C22:AS22)</f>
        <v>200791</v>
      </c>
      <c r="AV22" s="164"/>
      <c r="AW22" s="209">
        <f>SUMIF($C$60:$AS$60,"já",C22:AS22)</f>
        <v>10047</v>
      </c>
      <c r="AX22" s="209">
        <f>SUMIF($C$60:$AS$60,"nei",C22:AS22)</f>
        <v>190744</v>
      </c>
      <c r="AY22" s="25"/>
      <c r="AZ22" s="25"/>
      <c r="BA22" s="25"/>
    </row>
    <row r="23" spans="1:53" ht="12.75" customHeight="1">
      <c r="A23" s="174" t="s">
        <v>184</v>
      </c>
      <c r="B23" s="140">
        <v>6</v>
      </c>
      <c r="C23" s="179">
        <v>905</v>
      </c>
      <c r="D23" s="179">
        <v>10033</v>
      </c>
      <c r="E23" s="179">
        <v>7929</v>
      </c>
      <c r="F23" s="179">
        <v>12942</v>
      </c>
      <c r="G23" s="179">
        <v>361</v>
      </c>
      <c r="H23" s="179">
        <v>4422</v>
      </c>
      <c r="I23" s="179">
        <v>0</v>
      </c>
      <c r="J23" s="179">
        <v>286</v>
      </c>
      <c r="K23" s="179">
        <v>154</v>
      </c>
      <c r="L23" s="179">
        <v>6194</v>
      </c>
      <c r="M23" s="179">
        <v>3593</v>
      </c>
      <c r="N23" s="179">
        <v>340</v>
      </c>
      <c r="O23" s="179">
        <v>4352</v>
      </c>
      <c r="P23" s="179">
        <v>4156</v>
      </c>
      <c r="Q23" s="179">
        <v>2508</v>
      </c>
      <c r="R23" s="179">
        <v>624</v>
      </c>
      <c r="S23" s="179">
        <v>49</v>
      </c>
      <c r="T23" s="179">
        <v>194</v>
      </c>
      <c r="U23" s="179">
        <v>37</v>
      </c>
      <c r="V23" s="179">
        <v>794</v>
      </c>
      <c r="W23" s="179">
        <v>107</v>
      </c>
      <c r="X23" s="179">
        <v>1427</v>
      </c>
      <c r="Y23" s="179">
        <v>930</v>
      </c>
      <c r="Z23" s="179">
        <v>589</v>
      </c>
      <c r="AA23" s="179">
        <v>3606</v>
      </c>
      <c r="AB23" s="181">
        <v>113</v>
      </c>
      <c r="AC23" s="179">
        <v>187</v>
      </c>
      <c r="AD23" s="179">
        <v>772</v>
      </c>
      <c r="AE23" s="179">
        <v>198</v>
      </c>
      <c r="AF23" s="179">
        <v>322</v>
      </c>
      <c r="AG23" s="179">
        <v>339</v>
      </c>
      <c r="AH23" s="179">
        <v>9</v>
      </c>
      <c r="AI23" s="179">
        <v>219</v>
      </c>
      <c r="AJ23" s="179">
        <v>236</v>
      </c>
      <c r="AK23" s="179">
        <v>124</v>
      </c>
      <c r="AL23" s="179">
        <v>196</v>
      </c>
      <c r="AM23" s="179">
        <v>192</v>
      </c>
      <c r="AN23" s="179">
        <v>75</v>
      </c>
      <c r="AO23" s="179">
        <v>117</v>
      </c>
      <c r="AP23" s="179">
        <v>0</v>
      </c>
      <c r="AQ23" s="179">
        <v>9</v>
      </c>
      <c r="AR23" s="179">
        <v>168</v>
      </c>
      <c r="AS23" s="179">
        <v>154</v>
      </c>
      <c r="AT23" s="222"/>
      <c r="AU23" s="164">
        <f>SUM(C23:AS23)</f>
        <v>69962</v>
      </c>
      <c r="AV23" s="164"/>
      <c r="AW23" s="209">
        <f>SUMIF($C$60:$AS$60,"já",C23:AS23)</f>
        <v>14831</v>
      </c>
      <c r="AX23" s="209">
        <f>SUMIF($C$60:$AS$60,"nei",C23:AS23)</f>
        <v>55131</v>
      </c>
      <c r="AY23" s="27"/>
      <c r="AZ23" s="27"/>
      <c r="BA23" s="27"/>
    </row>
    <row r="24" spans="1:50" ht="12.75" customHeight="1">
      <c r="A24" s="174"/>
      <c r="B24" s="140"/>
      <c r="C24" s="226"/>
      <c r="D24" s="226"/>
      <c r="E24" s="226"/>
      <c r="F24" s="226"/>
      <c r="G24" s="226"/>
      <c r="H24" s="226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5"/>
      <c r="AK24" s="226"/>
      <c r="AL24" s="226"/>
      <c r="AM24" s="226"/>
      <c r="AN24" s="226"/>
      <c r="AO24" s="226"/>
      <c r="AP24" s="226"/>
      <c r="AQ24" s="226"/>
      <c r="AR24" s="226"/>
      <c r="AS24" s="226"/>
      <c r="AT24" s="222"/>
      <c r="AU24" s="253"/>
      <c r="AV24" s="164"/>
      <c r="AW24" s="253"/>
      <c r="AX24" s="253"/>
    </row>
    <row r="25" spans="1:50" ht="12.75" customHeight="1">
      <c r="A25" s="174" t="s">
        <v>185</v>
      </c>
      <c r="B25" s="140"/>
      <c r="C25" s="180">
        <v>22.7</v>
      </c>
      <c r="D25" s="180">
        <v>75.6</v>
      </c>
      <c r="E25" s="180">
        <v>64</v>
      </c>
      <c r="F25" s="180">
        <v>57.5</v>
      </c>
      <c r="G25" s="180">
        <v>32.1</v>
      </c>
      <c r="H25" s="180">
        <v>67.1</v>
      </c>
      <c r="I25" s="180">
        <v>0</v>
      </c>
      <c r="J25" s="180">
        <v>100</v>
      </c>
      <c r="K25" s="180">
        <v>0</v>
      </c>
      <c r="L25" s="180">
        <v>59.8</v>
      </c>
      <c r="M25" s="180">
        <v>68.1</v>
      </c>
      <c r="N25" s="180">
        <v>30.7</v>
      </c>
      <c r="O25" s="180">
        <v>62.3</v>
      </c>
      <c r="P25" s="180">
        <v>57.1</v>
      </c>
      <c r="Q25" s="180">
        <v>70.7</v>
      </c>
      <c r="R25" s="180">
        <v>81.5</v>
      </c>
      <c r="S25" s="180">
        <v>43.9</v>
      </c>
      <c r="T25" s="180">
        <v>78.2</v>
      </c>
      <c r="U25" s="180">
        <v>2.5</v>
      </c>
      <c r="V25" s="180">
        <v>50.1</v>
      </c>
      <c r="W25" s="180">
        <v>25.1</v>
      </c>
      <c r="X25" s="180">
        <v>53</v>
      </c>
      <c r="Y25" s="180">
        <v>48.6</v>
      </c>
      <c r="Z25" s="180">
        <v>86.9</v>
      </c>
      <c r="AA25" s="180">
        <v>78.4</v>
      </c>
      <c r="AB25" s="156">
        <v>84.6</v>
      </c>
      <c r="AC25" s="180">
        <v>80.8</v>
      </c>
      <c r="AD25" s="180">
        <v>72.7</v>
      </c>
      <c r="AE25" s="180">
        <v>82.2</v>
      </c>
      <c r="AF25" s="180">
        <v>75.3</v>
      </c>
      <c r="AG25" s="180">
        <v>68.8</v>
      </c>
      <c r="AH25" s="180">
        <v>65.6</v>
      </c>
      <c r="AI25" s="180">
        <v>70.3</v>
      </c>
      <c r="AJ25" s="180">
        <v>76.6</v>
      </c>
      <c r="AK25" s="180">
        <v>74.2</v>
      </c>
      <c r="AL25" s="180">
        <v>71.8</v>
      </c>
      <c r="AM25" s="180">
        <v>83.9</v>
      </c>
      <c r="AN25" s="180">
        <v>73</v>
      </c>
      <c r="AO25" s="180">
        <v>74</v>
      </c>
      <c r="AP25" s="180">
        <v>72.1</v>
      </c>
      <c r="AQ25" s="180">
        <v>88.4</v>
      </c>
      <c r="AR25" s="180">
        <v>56.3</v>
      </c>
      <c r="AS25" s="180">
        <v>71.6</v>
      </c>
      <c r="AT25" s="222"/>
      <c r="AU25" s="243">
        <f>+AU79/$AU$84*100</f>
        <v>68.96002153159463</v>
      </c>
      <c r="AV25" s="249"/>
      <c r="AW25" s="243">
        <f>+AW79/$AW$84*100</f>
        <v>75.63170648062322</v>
      </c>
      <c r="AX25" s="243">
        <f>+AX79/$AX$84*100</f>
        <v>63.25267731616384</v>
      </c>
    </row>
    <row r="26" spans="1:50" ht="12.75" customHeight="1">
      <c r="A26" s="174" t="s">
        <v>186</v>
      </c>
      <c r="B26" s="140"/>
      <c r="C26" s="180">
        <v>64.7</v>
      </c>
      <c r="D26" s="180">
        <v>4.1</v>
      </c>
      <c r="E26" s="180">
        <v>24</v>
      </c>
      <c r="F26" s="180">
        <v>33.2</v>
      </c>
      <c r="G26" s="180">
        <v>43.1</v>
      </c>
      <c r="H26" s="180">
        <v>18.1</v>
      </c>
      <c r="I26" s="180">
        <v>0</v>
      </c>
      <c r="J26" s="180">
        <v>0</v>
      </c>
      <c r="K26" s="180">
        <v>47.6</v>
      </c>
      <c r="L26" s="180">
        <v>29.6</v>
      </c>
      <c r="M26" s="180">
        <v>16.6</v>
      </c>
      <c r="N26" s="180">
        <v>51.7</v>
      </c>
      <c r="O26" s="180">
        <v>28.7</v>
      </c>
      <c r="P26" s="180">
        <v>33.9</v>
      </c>
      <c r="Q26" s="180">
        <v>22.6</v>
      </c>
      <c r="R26" s="180">
        <v>5.9</v>
      </c>
      <c r="S26" s="180">
        <v>45.7</v>
      </c>
      <c r="T26" s="180">
        <v>7.3</v>
      </c>
      <c r="U26" s="180">
        <v>82</v>
      </c>
      <c r="V26" s="180">
        <v>39</v>
      </c>
      <c r="W26" s="180">
        <v>62.2</v>
      </c>
      <c r="X26" s="180">
        <v>33.3</v>
      </c>
      <c r="Y26" s="180">
        <v>38.8</v>
      </c>
      <c r="Z26" s="180">
        <v>0</v>
      </c>
      <c r="AA26" s="180">
        <v>12.2</v>
      </c>
      <c r="AB26" s="156">
        <v>6.2</v>
      </c>
      <c r="AC26" s="180">
        <v>4.6</v>
      </c>
      <c r="AD26" s="180">
        <v>6</v>
      </c>
      <c r="AE26" s="180">
        <v>0.2</v>
      </c>
      <c r="AF26" s="180">
        <v>5.9</v>
      </c>
      <c r="AG26" s="180">
        <v>23</v>
      </c>
      <c r="AH26" s="180">
        <v>25.8</v>
      </c>
      <c r="AI26" s="180">
        <v>10.1</v>
      </c>
      <c r="AJ26" s="180">
        <v>19</v>
      </c>
      <c r="AK26" s="180">
        <v>5.7</v>
      </c>
      <c r="AL26" s="180">
        <v>11</v>
      </c>
      <c r="AM26" s="180">
        <v>10.5</v>
      </c>
      <c r="AN26" s="180">
        <v>9.1</v>
      </c>
      <c r="AO26" s="180">
        <v>1</v>
      </c>
      <c r="AP26" s="180">
        <v>4.2</v>
      </c>
      <c r="AQ26" s="180">
        <v>0</v>
      </c>
      <c r="AR26" s="180">
        <v>12.7</v>
      </c>
      <c r="AS26" s="180">
        <v>2.7</v>
      </c>
      <c r="AT26" s="222"/>
      <c r="AU26" s="243">
        <f>+AU80/$AU$84*100</f>
        <v>16.20009093484947</v>
      </c>
      <c r="AV26" s="249"/>
      <c r="AW26" s="243">
        <f>+AW80/$AW$84*100</f>
        <v>5.867055313639572</v>
      </c>
      <c r="AX26" s="243">
        <f>+AX80/$AX$84*100</f>
        <v>25.03956574984945</v>
      </c>
    </row>
    <row r="27" spans="1:50" ht="12.75" customHeight="1">
      <c r="A27" s="174" t="s">
        <v>187</v>
      </c>
      <c r="B27" s="140"/>
      <c r="C27" s="180">
        <v>3.9</v>
      </c>
      <c r="D27" s="180">
        <v>20.2</v>
      </c>
      <c r="E27" s="180">
        <v>9.7</v>
      </c>
      <c r="F27" s="180">
        <v>7.8</v>
      </c>
      <c r="G27" s="180">
        <v>9.4</v>
      </c>
      <c r="H27" s="180">
        <v>13.4</v>
      </c>
      <c r="I27" s="180">
        <v>0</v>
      </c>
      <c r="J27" s="180">
        <v>0</v>
      </c>
      <c r="K27" s="180">
        <v>47.3</v>
      </c>
      <c r="L27" s="180">
        <v>8.6</v>
      </c>
      <c r="M27" s="180">
        <v>14.2</v>
      </c>
      <c r="N27" s="180">
        <v>12.3</v>
      </c>
      <c r="O27" s="180">
        <v>7.3</v>
      </c>
      <c r="P27" s="180">
        <v>7</v>
      </c>
      <c r="Q27" s="180">
        <v>6.6</v>
      </c>
      <c r="R27" s="180">
        <v>12.4</v>
      </c>
      <c r="S27" s="180">
        <v>9.1</v>
      </c>
      <c r="T27" s="180">
        <v>12.5</v>
      </c>
      <c r="U27" s="180">
        <v>15.4</v>
      </c>
      <c r="V27" s="180">
        <v>4.3</v>
      </c>
      <c r="W27" s="180">
        <v>1.5</v>
      </c>
      <c r="X27" s="180">
        <v>11.1</v>
      </c>
      <c r="Y27" s="180">
        <v>10.5</v>
      </c>
      <c r="Z27" s="180">
        <v>10.1</v>
      </c>
      <c r="AA27" s="180">
        <v>8.4</v>
      </c>
      <c r="AB27" s="156">
        <v>8.6</v>
      </c>
      <c r="AC27" s="180">
        <v>14.3</v>
      </c>
      <c r="AD27" s="180">
        <v>21.2</v>
      </c>
      <c r="AE27" s="180">
        <v>17.6</v>
      </c>
      <c r="AF27" s="180">
        <v>18.6</v>
      </c>
      <c r="AG27" s="180">
        <v>6.2</v>
      </c>
      <c r="AH27" s="180">
        <v>8.6</v>
      </c>
      <c r="AI27" s="180">
        <v>19.6</v>
      </c>
      <c r="AJ27" s="180">
        <v>4.2</v>
      </c>
      <c r="AK27" s="180">
        <v>20</v>
      </c>
      <c r="AL27" s="180">
        <v>17</v>
      </c>
      <c r="AM27" s="180">
        <v>5.6</v>
      </c>
      <c r="AN27" s="180">
        <v>17.2</v>
      </c>
      <c r="AO27" s="180">
        <v>25</v>
      </c>
      <c r="AP27" s="180">
        <v>23.7</v>
      </c>
      <c r="AQ27" s="180">
        <v>11.6</v>
      </c>
      <c r="AR27" s="180">
        <v>30.3</v>
      </c>
      <c r="AS27" s="180">
        <v>25.5</v>
      </c>
      <c r="AT27" s="222"/>
      <c r="AU27" s="243">
        <f>+AU81/$AU$84*100</f>
        <v>13.742328792227843</v>
      </c>
      <c r="AV27" s="249"/>
      <c r="AW27" s="243">
        <f>+AW81/$AW$84*100</f>
        <v>18.221311327781713</v>
      </c>
      <c r="AX27" s="243">
        <f>+AX81/$AX$84*100</f>
        <v>9.91074872503193</v>
      </c>
    </row>
    <row r="28" spans="1:50" ht="12.75" customHeight="1">
      <c r="A28" s="174" t="s">
        <v>188</v>
      </c>
      <c r="B28" s="140"/>
      <c r="C28" s="180">
        <v>8.7</v>
      </c>
      <c r="D28" s="180">
        <v>0.1</v>
      </c>
      <c r="E28" s="180">
        <v>2.3</v>
      </c>
      <c r="F28" s="180">
        <v>1.5</v>
      </c>
      <c r="G28" s="180">
        <v>6.8</v>
      </c>
      <c r="H28" s="180">
        <v>1.3</v>
      </c>
      <c r="I28" s="180">
        <v>0</v>
      </c>
      <c r="J28" s="180">
        <v>0</v>
      </c>
      <c r="K28" s="180">
        <v>5.1</v>
      </c>
      <c r="L28" s="180">
        <v>2</v>
      </c>
      <c r="M28" s="180">
        <v>1.1</v>
      </c>
      <c r="N28" s="180">
        <v>5.3</v>
      </c>
      <c r="O28" s="180">
        <v>1.7</v>
      </c>
      <c r="P28" s="180">
        <v>2</v>
      </c>
      <c r="Q28" s="180">
        <v>0.2</v>
      </c>
      <c r="R28" s="180">
        <v>0.2</v>
      </c>
      <c r="S28" s="180">
        <v>1.3</v>
      </c>
      <c r="T28" s="180">
        <v>2</v>
      </c>
      <c r="U28" s="180">
        <v>0</v>
      </c>
      <c r="V28" s="180">
        <v>6.6</v>
      </c>
      <c r="W28" s="180">
        <v>11.2</v>
      </c>
      <c r="X28" s="180">
        <v>2.6</v>
      </c>
      <c r="Y28" s="180">
        <v>2.1</v>
      </c>
      <c r="Z28" s="180">
        <v>2.8</v>
      </c>
      <c r="AA28" s="180">
        <v>1</v>
      </c>
      <c r="AB28" s="156">
        <v>0.6</v>
      </c>
      <c r="AC28" s="180">
        <v>0.3</v>
      </c>
      <c r="AD28" s="180">
        <v>0.1</v>
      </c>
      <c r="AE28" s="180">
        <v>0</v>
      </c>
      <c r="AF28" s="180">
        <v>0.2</v>
      </c>
      <c r="AG28" s="180">
        <v>2</v>
      </c>
      <c r="AH28" s="180">
        <v>0</v>
      </c>
      <c r="AI28" s="180">
        <v>0</v>
      </c>
      <c r="AJ28" s="180">
        <v>0.2</v>
      </c>
      <c r="AK28" s="180">
        <v>0.1</v>
      </c>
      <c r="AL28" s="180">
        <v>0.2</v>
      </c>
      <c r="AM28" s="180">
        <v>0</v>
      </c>
      <c r="AN28" s="180">
        <v>0.7</v>
      </c>
      <c r="AO28" s="180">
        <v>0</v>
      </c>
      <c r="AP28" s="180">
        <v>0</v>
      </c>
      <c r="AQ28" s="180">
        <v>0</v>
      </c>
      <c r="AR28" s="180">
        <v>0.7</v>
      </c>
      <c r="AS28" s="180">
        <v>0.2</v>
      </c>
      <c r="AT28" s="222"/>
      <c r="AU28" s="243">
        <f>+AU82/$AU$84*100</f>
        <v>1.0824795986064606</v>
      </c>
      <c r="AV28" s="249"/>
      <c r="AW28" s="243">
        <f>+AW82/$AW$84*100</f>
        <v>0.2685544560387576</v>
      </c>
      <c r="AX28" s="243">
        <f>+AX82/$AX$84*100</f>
        <v>1.7787581234045824</v>
      </c>
    </row>
    <row r="29" spans="1:50" s="39" customFormat="1" ht="12.75" customHeight="1">
      <c r="A29" s="174" t="s">
        <v>189</v>
      </c>
      <c r="B29" s="140"/>
      <c r="C29" s="180">
        <v>0</v>
      </c>
      <c r="D29" s="180">
        <v>0</v>
      </c>
      <c r="E29" s="180">
        <v>0</v>
      </c>
      <c r="F29" s="180">
        <v>0</v>
      </c>
      <c r="G29" s="180">
        <v>8.6</v>
      </c>
      <c r="H29" s="180">
        <v>0.1</v>
      </c>
      <c r="I29" s="180">
        <v>0</v>
      </c>
      <c r="J29" s="180">
        <v>0</v>
      </c>
      <c r="K29" s="180">
        <v>0</v>
      </c>
      <c r="L29" s="180">
        <v>0</v>
      </c>
      <c r="M29" s="180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  <c r="S29" s="180">
        <v>0</v>
      </c>
      <c r="T29" s="180">
        <v>0</v>
      </c>
      <c r="U29" s="180">
        <v>0.2</v>
      </c>
      <c r="V29" s="180">
        <v>0</v>
      </c>
      <c r="W29" s="180">
        <v>0</v>
      </c>
      <c r="X29" s="180">
        <v>0</v>
      </c>
      <c r="Y29" s="180">
        <v>0</v>
      </c>
      <c r="Z29" s="180">
        <v>0.2</v>
      </c>
      <c r="AA29" s="180">
        <v>0</v>
      </c>
      <c r="AB29" s="156">
        <v>0</v>
      </c>
      <c r="AC29" s="180">
        <v>0</v>
      </c>
      <c r="AD29" s="180">
        <v>0</v>
      </c>
      <c r="AE29" s="180">
        <v>0</v>
      </c>
      <c r="AF29" s="180">
        <v>0</v>
      </c>
      <c r="AG29" s="180">
        <v>0</v>
      </c>
      <c r="AH29" s="180">
        <v>0</v>
      </c>
      <c r="AI29" s="180">
        <v>0</v>
      </c>
      <c r="AJ29" s="180">
        <v>0</v>
      </c>
      <c r="AK29" s="180">
        <v>0</v>
      </c>
      <c r="AL29" s="180">
        <v>0</v>
      </c>
      <c r="AM29" s="180">
        <v>0</v>
      </c>
      <c r="AN29" s="180">
        <v>0</v>
      </c>
      <c r="AO29" s="180">
        <v>0</v>
      </c>
      <c r="AP29" s="180">
        <v>0</v>
      </c>
      <c r="AQ29" s="180">
        <v>0</v>
      </c>
      <c r="AR29" s="180">
        <v>0</v>
      </c>
      <c r="AS29" s="180">
        <v>0</v>
      </c>
      <c r="AT29" s="250"/>
      <c r="AU29" s="243">
        <f>+AU83/$AU$84*100</f>
        <v>0.015079142721594321</v>
      </c>
      <c r="AV29" s="243"/>
      <c r="AW29" s="243">
        <f>+AW83/$AW$84*100</f>
        <v>0.011372421916746152</v>
      </c>
      <c r="AX29" s="243">
        <f>+AX83/$AX$84*100</f>
        <v>0.018250085550189286</v>
      </c>
    </row>
    <row r="30" spans="1:50" s="39" customFormat="1" ht="12.75" customHeight="1">
      <c r="A30" s="194" t="s">
        <v>190</v>
      </c>
      <c r="B30" s="140">
        <v>7</v>
      </c>
      <c r="C30" s="225">
        <f aca="true" t="shared" si="10" ref="C30:AS30">SUM(C25:C29)</f>
        <v>100.00000000000001</v>
      </c>
      <c r="D30" s="225">
        <f t="shared" si="10"/>
        <v>99.99999999999999</v>
      </c>
      <c r="E30" s="225">
        <f t="shared" si="10"/>
        <v>100</v>
      </c>
      <c r="F30" s="225">
        <f t="shared" si="10"/>
        <v>100</v>
      </c>
      <c r="G30" s="225">
        <f t="shared" si="10"/>
        <v>100</v>
      </c>
      <c r="H30" s="225">
        <f t="shared" si="10"/>
        <v>99.99999999999999</v>
      </c>
      <c r="I30" s="225">
        <f t="shared" si="10"/>
        <v>0</v>
      </c>
      <c r="J30" s="225">
        <f t="shared" si="10"/>
        <v>100</v>
      </c>
      <c r="K30" s="225">
        <f t="shared" si="10"/>
        <v>100</v>
      </c>
      <c r="L30" s="225">
        <f>SUM(L25:L29)</f>
        <v>100</v>
      </c>
      <c r="M30" s="225">
        <f t="shared" si="10"/>
        <v>99.99999999999999</v>
      </c>
      <c r="N30" s="225">
        <f t="shared" si="10"/>
        <v>100</v>
      </c>
      <c r="O30" s="225">
        <f t="shared" si="10"/>
        <v>100</v>
      </c>
      <c r="P30" s="225">
        <f t="shared" si="10"/>
        <v>100</v>
      </c>
      <c r="Q30" s="225">
        <f>SUM(Q25:Q29)</f>
        <v>100.10000000000001</v>
      </c>
      <c r="R30" s="225">
        <f t="shared" si="10"/>
        <v>100.00000000000001</v>
      </c>
      <c r="S30" s="225">
        <f t="shared" si="10"/>
        <v>99.99999999999999</v>
      </c>
      <c r="T30" s="225">
        <f t="shared" si="10"/>
        <v>100</v>
      </c>
      <c r="U30" s="225">
        <f>SUM(U25:U29)</f>
        <v>100.10000000000001</v>
      </c>
      <c r="V30" s="225">
        <f t="shared" si="10"/>
        <v>99.99999999999999</v>
      </c>
      <c r="W30" s="225">
        <f t="shared" si="10"/>
        <v>100.00000000000001</v>
      </c>
      <c r="X30" s="225">
        <f>SUM(X25:X29)</f>
        <v>99.99999999999999</v>
      </c>
      <c r="Y30" s="225">
        <f>SUM(Y25:Y29)</f>
        <v>100</v>
      </c>
      <c r="Z30" s="225">
        <f t="shared" si="10"/>
        <v>100</v>
      </c>
      <c r="AA30" s="225">
        <f t="shared" si="10"/>
        <v>100.00000000000001</v>
      </c>
      <c r="AB30" s="225">
        <f t="shared" si="10"/>
        <v>99.99999999999999</v>
      </c>
      <c r="AC30" s="225">
        <f t="shared" si="10"/>
        <v>99.99999999999999</v>
      </c>
      <c r="AD30" s="225">
        <f>SUM(AD25:AD29)</f>
        <v>100</v>
      </c>
      <c r="AE30" s="225">
        <f t="shared" si="10"/>
        <v>100</v>
      </c>
      <c r="AF30" s="225">
        <f>SUM(AF25:AF29)</f>
        <v>100.00000000000001</v>
      </c>
      <c r="AG30" s="225">
        <f t="shared" si="10"/>
        <v>100</v>
      </c>
      <c r="AH30" s="225">
        <f aca="true" t="shared" si="11" ref="AH30:AP30">SUM(AH25:AH29)</f>
        <v>99.99999999999999</v>
      </c>
      <c r="AI30" s="225">
        <f t="shared" si="11"/>
        <v>100</v>
      </c>
      <c r="AJ30" s="225">
        <f>SUM(AJ25:AJ29)</f>
        <v>100</v>
      </c>
      <c r="AK30" s="225">
        <f t="shared" si="11"/>
        <v>100</v>
      </c>
      <c r="AL30" s="225">
        <f t="shared" si="11"/>
        <v>100</v>
      </c>
      <c r="AM30" s="225">
        <f t="shared" si="11"/>
        <v>100</v>
      </c>
      <c r="AN30" s="225">
        <f t="shared" si="11"/>
        <v>100</v>
      </c>
      <c r="AO30" s="225">
        <f t="shared" si="11"/>
        <v>100</v>
      </c>
      <c r="AP30" s="225">
        <f t="shared" si="11"/>
        <v>100</v>
      </c>
      <c r="AQ30" s="225">
        <f t="shared" si="10"/>
        <v>100</v>
      </c>
      <c r="AR30" s="225">
        <f t="shared" si="10"/>
        <v>100</v>
      </c>
      <c r="AS30" s="225">
        <f t="shared" si="10"/>
        <v>100</v>
      </c>
      <c r="AT30" s="250"/>
      <c r="AU30" s="243">
        <f>SUM(AU25:AU29)</f>
        <v>99.99999999999999</v>
      </c>
      <c r="AV30" s="243"/>
      <c r="AW30" s="243">
        <f>SUM(AW25:AW29)</f>
        <v>100.00000000000001</v>
      </c>
      <c r="AX30" s="243">
        <f>SUM(AX25:AX29)</f>
        <v>100.00000000000001</v>
      </c>
    </row>
    <row r="31" spans="1:50" s="39" customFormat="1" ht="12.75" customHeight="1">
      <c r="A31" s="194"/>
      <c r="B31" s="140"/>
      <c r="C31" s="225"/>
      <c r="D31" s="225"/>
      <c r="E31" s="226"/>
      <c r="F31" s="225"/>
      <c r="G31" s="226"/>
      <c r="H31" s="225"/>
      <c r="I31" s="225"/>
      <c r="J31" s="225"/>
      <c r="K31" s="225"/>
      <c r="L31" s="225"/>
      <c r="M31" s="226"/>
      <c r="N31" s="226"/>
      <c r="O31" s="225"/>
      <c r="P31" s="226"/>
      <c r="Q31" s="225"/>
      <c r="R31" s="225"/>
      <c r="S31" s="225"/>
      <c r="T31" s="226"/>
      <c r="U31" s="225"/>
      <c r="V31" s="225"/>
      <c r="W31" s="225"/>
      <c r="X31" s="225"/>
      <c r="Y31" s="225"/>
      <c r="Z31" s="225"/>
      <c r="AA31" s="226"/>
      <c r="AB31" s="225"/>
      <c r="AC31" s="225"/>
      <c r="AD31" s="225"/>
      <c r="AE31" s="225"/>
      <c r="AF31" s="225"/>
      <c r="AG31" s="225"/>
      <c r="AH31" s="226"/>
      <c r="AI31" s="225"/>
      <c r="AJ31" s="225"/>
      <c r="AK31" s="225"/>
      <c r="AL31" s="225"/>
      <c r="AM31" s="225"/>
      <c r="AN31" s="225"/>
      <c r="AO31" s="226"/>
      <c r="AP31" s="225"/>
      <c r="AQ31" s="225"/>
      <c r="AR31" s="225"/>
      <c r="AS31" s="226"/>
      <c r="AT31" s="254"/>
      <c r="AU31" s="254"/>
      <c r="AV31" s="254"/>
      <c r="AW31" s="254"/>
      <c r="AX31" s="254"/>
    </row>
    <row r="32" spans="1:50" s="40" customFormat="1" ht="12.75" customHeight="1">
      <c r="A32" s="227" t="s">
        <v>191</v>
      </c>
      <c r="B32" s="140">
        <v>8</v>
      </c>
      <c r="C32" s="228" t="s">
        <v>232</v>
      </c>
      <c r="D32" s="228" t="s">
        <v>232</v>
      </c>
      <c r="E32" s="180">
        <v>27</v>
      </c>
      <c r="F32" s="180">
        <v>22</v>
      </c>
      <c r="G32" s="180">
        <v>16</v>
      </c>
      <c r="H32" s="180">
        <v>16</v>
      </c>
      <c r="I32" s="228" t="s">
        <v>232</v>
      </c>
      <c r="J32" s="228" t="s">
        <v>232</v>
      </c>
      <c r="K32" s="228" t="s">
        <v>232</v>
      </c>
      <c r="L32" s="180">
        <v>11.6</v>
      </c>
      <c r="M32" s="180">
        <v>8.6</v>
      </c>
      <c r="N32" s="229" t="s">
        <v>232</v>
      </c>
      <c r="O32" s="180">
        <v>8.4</v>
      </c>
      <c r="P32" s="180">
        <v>9.7</v>
      </c>
      <c r="Q32" s="228" t="s">
        <v>232</v>
      </c>
      <c r="R32" s="180">
        <v>3</v>
      </c>
      <c r="S32" s="180">
        <v>3</v>
      </c>
      <c r="T32" s="180">
        <v>6</v>
      </c>
      <c r="U32" s="228" t="s">
        <v>232</v>
      </c>
      <c r="V32" s="228" t="s">
        <v>232</v>
      </c>
      <c r="W32" s="228" t="s">
        <v>232</v>
      </c>
      <c r="X32" s="180">
        <v>5</v>
      </c>
      <c r="Y32" s="180">
        <v>3</v>
      </c>
      <c r="Z32" s="228" t="s">
        <v>232</v>
      </c>
      <c r="AA32" s="180">
        <v>3.7</v>
      </c>
      <c r="AB32" s="230" t="s">
        <v>232</v>
      </c>
      <c r="AC32" s="228" t="s">
        <v>232</v>
      </c>
      <c r="AD32" s="228" t="s">
        <v>232</v>
      </c>
      <c r="AE32" s="228" t="s">
        <v>232</v>
      </c>
      <c r="AF32" s="228" t="s">
        <v>232</v>
      </c>
      <c r="AG32" s="180">
        <v>1</v>
      </c>
      <c r="AH32" s="228" t="s">
        <v>232</v>
      </c>
      <c r="AI32" s="180">
        <v>0.6</v>
      </c>
      <c r="AJ32" s="228" t="s">
        <v>232</v>
      </c>
      <c r="AK32" s="180">
        <v>1</v>
      </c>
      <c r="AL32" s="228" t="s">
        <v>232</v>
      </c>
      <c r="AM32" s="228" t="s">
        <v>232</v>
      </c>
      <c r="AN32" s="228" t="s">
        <v>232</v>
      </c>
      <c r="AO32" s="228" t="s">
        <v>232</v>
      </c>
      <c r="AP32" s="180">
        <v>49</v>
      </c>
      <c r="AQ32" s="228" t="s">
        <v>232</v>
      </c>
      <c r="AR32" s="228" t="s">
        <v>232</v>
      </c>
      <c r="AS32" s="228" t="s">
        <v>232</v>
      </c>
      <c r="AT32" s="227"/>
      <c r="AU32" s="164">
        <f>SUM(C32:AS32)</f>
        <v>194.6</v>
      </c>
      <c r="AV32" s="227"/>
      <c r="AW32" s="209">
        <f>SUMIF($C$60:$AS$60,"já",C32:AS32)</f>
        <v>50.6</v>
      </c>
      <c r="AX32" s="209">
        <f>SUMIF($C$60:$AS$60,"nei",C32:AS32)</f>
        <v>144</v>
      </c>
    </row>
    <row r="33" spans="1:50" s="41" customFormat="1" ht="12.75" customHeight="1">
      <c r="A33" s="174" t="s">
        <v>231</v>
      </c>
      <c r="B33" s="140">
        <v>9</v>
      </c>
      <c r="C33" s="180">
        <v>4</v>
      </c>
      <c r="D33" s="180">
        <v>66</v>
      </c>
      <c r="E33" s="180">
        <v>26</v>
      </c>
      <c r="F33" s="180">
        <v>54</v>
      </c>
      <c r="G33" s="180">
        <v>1</v>
      </c>
      <c r="H33" s="180">
        <v>102</v>
      </c>
      <c r="I33" s="228" t="s">
        <v>232</v>
      </c>
      <c r="J33" s="364" t="s">
        <v>619</v>
      </c>
      <c r="K33" s="180">
        <v>8</v>
      </c>
      <c r="L33" s="180">
        <v>38</v>
      </c>
      <c r="M33" s="180">
        <v>42</v>
      </c>
      <c r="N33" s="180">
        <v>15</v>
      </c>
      <c r="O33" s="180">
        <v>25</v>
      </c>
      <c r="P33" s="180">
        <v>35</v>
      </c>
      <c r="Q33" s="180">
        <v>8</v>
      </c>
      <c r="R33" s="180">
        <v>284</v>
      </c>
      <c r="S33" s="180">
        <v>3</v>
      </c>
      <c r="T33" s="180">
        <v>15</v>
      </c>
      <c r="U33" s="180">
        <v>-6</v>
      </c>
      <c r="V33" s="180">
        <v>8</v>
      </c>
      <c r="W33" s="180">
        <v>1</v>
      </c>
      <c r="X33" s="180">
        <v>73</v>
      </c>
      <c r="Y33" s="180">
        <v>71</v>
      </c>
      <c r="Z33" s="180">
        <v>97</v>
      </c>
      <c r="AA33" s="180">
        <v>160</v>
      </c>
      <c r="AB33" s="156">
        <v>52</v>
      </c>
      <c r="AC33" s="180">
        <v>394</v>
      </c>
      <c r="AD33" s="364">
        <v>333</v>
      </c>
      <c r="AE33" s="472" t="s">
        <v>232</v>
      </c>
      <c r="AF33" s="180">
        <v>8</v>
      </c>
      <c r="AG33" s="180">
        <v>44</v>
      </c>
      <c r="AH33" s="180">
        <v>-8</v>
      </c>
      <c r="AI33" s="180">
        <v>110</v>
      </c>
      <c r="AJ33" s="180">
        <v>125</v>
      </c>
      <c r="AK33" s="180">
        <v>4</v>
      </c>
      <c r="AL33" s="180">
        <v>168</v>
      </c>
      <c r="AM33" s="472" t="s">
        <v>232</v>
      </c>
      <c r="AN33" s="180">
        <v>119</v>
      </c>
      <c r="AO33" s="472" t="s">
        <v>232</v>
      </c>
      <c r="AP33" s="180">
        <v>159</v>
      </c>
      <c r="AQ33" s="228" t="s">
        <v>232</v>
      </c>
      <c r="AR33" s="180">
        <v>95</v>
      </c>
      <c r="AS33" s="180">
        <v>113</v>
      </c>
      <c r="AT33" s="231"/>
      <c r="AU33" s="231">
        <f>(+'4.1. Samtryggingard.'!AU20/'4.1. Samtryggingard.'!AU13)*100</f>
        <v>34.017389755146525</v>
      </c>
      <c r="AV33" s="231"/>
      <c r="AW33" s="231">
        <f>(+'4.1. Samtryggingard.'!AW20/'4.1. Samtryggingard.'!AW13)*100</f>
        <v>36.02997740074221</v>
      </c>
      <c r="AX33" s="231">
        <f>(+'4.1. Samtryggingard.'!AX20/'4.1. Samtryggingard.'!AX13)*100</f>
        <v>32.46615304789776</v>
      </c>
    </row>
    <row r="34" spans="1:50" s="41" customFormat="1" ht="12.75" customHeight="1">
      <c r="A34" s="174"/>
      <c r="B34" s="140"/>
      <c r="C34" s="225"/>
      <c r="D34" s="225"/>
      <c r="E34" s="226"/>
      <c r="F34" s="226"/>
      <c r="G34" s="226"/>
      <c r="H34" s="226"/>
      <c r="I34" s="225"/>
      <c r="J34" s="225"/>
      <c r="K34" s="225"/>
      <c r="L34" s="226"/>
      <c r="M34" s="226"/>
      <c r="N34" s="225"/>
      <c r="O34" s="226"/>
      <c r="P34" s="226"/>
      <c r="Q34" s="226"/>
      <c r="R34" s="226"/>
      <c r="S34" s="226"/>
      <c r="T34" s="226"/>
      <c r="U34" s="226"/>
      <c r="V34" s="226"/>
      <c r="W34" s="226"/>
      <c r="X34" s="225"/>
      <c r="Y34" s="226"/>
      <c r="Z34" s="225"/>
      <c r="AA34" s="226"/>
      <c r="AB34" s="225"/>
      <c r="AC34" s="225"/>
      <c r="AD34" s="225"/>
      <c r="AE34" s="226"/>
      <c r="AF34" s="226"/>
      <c r="AG34" s="226"/>
      <c r="AH34" s="226"/>
      <c r="AI34" s="225"/>
      <c r="AJ34" s="225"/>
      <c r="AK34" s="225"/>
      <c r="AL34" s="225"/>
      <c r="AM34" s="225"/>
      <c r="AN34" s="225"/>
      <c r="AO34" s="225"/>
      <c r="AP34" s="226"/>
      <c r="AQ34" s="225"/>
      <c r="AR34" s="226"/>
      <c r="AS34" s="226"/>
      <c r="AT34" s="232"/>
      <c r="AU34" s="255"/>
      <c r="AV34" s="255"/>
      <c r="AW34" s="256"/>
      <c r="AX34" s="256"/>
    </row>
    <row r="35" spans="1:50" ht="12.75" customHeight="1">
      <c r="A35" s="233" t="s">
        <v>192</v>
      </c>
      <c r="B35" s="140">
        <v>10</v>
      </c>
      <c r="C35" s="180">
        <v>-2.4</v>
      </c>
      <c r="D35" s="180">
        <v>-53.2</v>
      </c>
      <c r="E35" s="180">
        <v>4.7</v>
      </c>
      <c r="F35" s="180">
        <v>5</v>
      </c>
      <c r="G35" s="180">
        <v>7</v>
      </c>
      <c r="H35" s="180">
        <v>1.2</v>
      </c>
      <c r="I35" s="180">
        <v>0</v>
      </c>
      <c r="J35" s="180">
        <v>0.6</v>
      </c>
      <c r="K35" s="180">
        <v>4.4</v>
      </c>
      <c r="L35" s="180">
        <v>2</v>
      </c>
      <c r="M35" s="180">
        <v>2.9</v>
      </c>
      <c r="N35" s="180">
        <v>3.8</v>
      </c>
      <c r="O35" s="180">
        <v>5.6</v>
      </c>
      <c r="P35" s="180">
        <v>3.2</v>
      </c>
      <c r="Q35" s="180">
        <v>-29.9</v>
      </c>
      <c r="R35" s="180">
        <v>0.2</v>
      </c>
      <c r="S35" s="180">
        <v>-6.3</v>
      </c>
      <c r="T35" s="180">
        <v>-0.9</v>
      </c>
      <c r="U35" s="180">
        <v>0</v>
      </c>
      <c r="V35" s="180">
        <v>-6.9</v>
      </c>
      <c r="W35" s="180">
        <v>-0.4</v>
      </c>
      <c r="X35" s="180">
        <v>4.1</v>
      </c>
      <c r="Y35" s="180">
        <v>3.2</v>
      </c>
      <c r="Z35" s="180">
        <v>-54.2</v>
      </c>
      <c r="AA35" s="180">
        <v>9.2</v>
      </c>
      <c r="AB35" s="156">
        <v>-0.5</v>
      </c>
      <c r="AC35" s="180">
        <v>0.3</v>
      </c>
      <c r="AD35" s="180">
        <v>0.1</v>
      </c>
      <c r="AE35" s="180">
        <v>9.4</v>
      </c>
      <c r="AF35" s="180">
        <v>-36</v>
      </c>
      <c r="AG35" s="180">
        <v>1.3</v>
      </c>
      <c r="AH35" s="180">
        <v>14.9</v>
      </c>
      <c r="AI35" s="180">
        <v>-44.4</v>
      </c>
      <c r="AJ35" s="180">
        <v>-68.7</v>
      </c>
      <c r="AK35" s="180">
        <v>-54.4</v>
      </c>
      <c r="AL35" s="180">
        <v>-72</v>
      </c>
      <c r="AM35" s="180">
        <v>9</v>
      </c>
      <c r="AN35" s="180">
        <v>-70.6</v>
      </c>
      <c r="AO35" s="180">
        <v>-8.3</v>
      </c>
      <c r="AP35" s="180">
        <v>-67.8</v>
      </c>
      <c r="AQ35" s="180">
        <v>0.5</v>
      </c>
      <c r="AR35" s="180">
        <v>-94</v>
      </c>
      <c r="AS35" s="180">
        <v>-99.9</v>
      </c>
      <c r="AT35" s="222"/>
      <c r="AU35" s="257"/>
      <c r="AV35" s="257"/>
      <c r="AW35" s="248"/>
      <c r="AX35" s="248"/>
    </row>
    <row r="36" spans="1:236" s="43" customFormat="1" ht="12.75" customHeight="1">
      <c r="A36" s="233" t="s">
        <v>193</v>
      </c>
      <c r="B36" s="140">
        <v>11</v>
      </c>
      <c r="C36" s="180">
        <v>32.9</v>
      </c>
      <c r="D36" s="180">
        <v>52.3</v>
      </c>
      <c r="E36" s="180">
        <v>21.8</v>
      </c>
      <c r="F36" s="180">
        <v>11.5</v>
      </c>
      <c r="G36" s="180">
        <v>11.6</v>
      </c>
      <c r="H36" s="180">
        <v>7.7</v>
      </c>
      <c r="I36" s="180">
        <v>0</v>
      </c>
      <c r="J36" s="180">
        <v>0.6</v>
      </c>
      <c r="K36" s="180">
        <v>9.9</v>
      </c>
      <c r="L36" s="180">
        <v>8</v>
      </c>
      <c r="M36" s="180">
        <v>4.9</v>
      </c>
      <c r="N36" s="180">
        <v>-0.3</v>
      </c>
      <c r="O36" s="180">
        <v>16.8</v>
      </c>
      <c r="P36" s="180">
        <v>12.5</v>
      </c>
      <c r="Q36" s="180">
        <v>-23.9</v>
      </c>
      <c r="R36" s="180">
        <v>6.2</v>
      </c>
      <c r="S36" s="180">
        <v>43.3</v>
      </c>
      <c r="T36" s="180">
        <v>-3.7</v>
      </c>
      <c r="U36" s="180">
        <v>0</v>
      </c>
      <c r="V36" s="180">
        <v>15.1</v>
      </c>
      <c r="W36" s="180">
        <v>13.1</v>
      </c>
      <c r="X36" s="180">
        <v>13.5</v>
      </c>
      <c r="Y36" s="180">
        <v>9.8</v>
      </c>
      <c r="Z36" s="180">
        <v>-52.3</v>
      </c>
      <c r="AA36" s="180">
        <v>20.7</v>
      </c>
      <c r="AB36" s="156">
        <v>19.3</v>
      </c>
      <c r="AC36" s="180">
        <v>3.5</v>
      </c>
      <c r="AD36" s="180">
        <v>0</v>
      </c>
      <c r="AE36" s="180">
        <v>0</v>
      </c>
      <c r="AF36" s="180">
        <v>-31</v>
      </c>
      <c r="AG36" s="180">
        <v>6.1</v>
      </c>
      <c r="AH36" s="180">
        <v>27.3</v>
      </c>
      <c r="AI36" s="180">
        <v>-45.8</v>
      </c>
      <c r="AJ36" s="180">
        <v>-68.8</v>
      </c>
      <c r="AK36" s="180">
        <v>-52.6</v>
      </c>
      <c r="AL36" s="180">
        <v>-73</v>
      </c>
      <c r="AM36" s="180">
        <v>9</v>
      </c>
      <c r="AN36" s="180">
        <v>-70.5</v>
      </c>
      <c r="AO36" s="180">
        <v>-8.3</v>
      </c>
      <c r="AP36" s="180">
        <v>-68.4</v>
      </c>
      <c r="AQ36" s="180">
        <v>0</v>
      </c>
      <c r="AR36" s="180">
        <v>-97.5</v>
      </c>
      <c r="AS36" s="180">
        <v>-99.9</v>
      </c>
      <c r="AT36" s="222"/>
      <c r="AU36" s="257"/>
      <c r="AV36" s="257"/>
      <c r="AW36" s="248"/>
      <c r="AX36" s="248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</row>
    <row r="37" spans="1:236" s="43" customFormat="1" ht="12.75" customHeight="1">
      <c r="A37" s="176"/>
      <c r="B37" s="140"/>
      <c r="C37" s="234"/>
      <c r="D37" s="234"/>
      <c r="E37" s="234"/>
      <c r="F37" s="234"/>
      <c r="G37" s="234"/>
      <c r="H37" s="234"/>
      <c r="I37" s="234"/>
      <c r="J37" s="234"/>
      <c r="K37" s="235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22"/>
      <c r="AU37" s="257"/>
      <c r="AV37" s="257"/>
      <c r="AW37" s="248"/>
      <c r="AX37" s="248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</row>
    <row r="38" spans="1:236" s="43" customFormat="1" ht="12.75" customHeight="1">
      <c r="A38" s="176"/>
      <c r="B38" s="140"/>
      <c r="C38" s="234"/>
      <c r="D38" s="234"/>
      <c r="E38" s="234"/>
      <c r="F38" s="234"/>
      <c r="G38" s="234"/>
      <c r="H38" s="234"/>
      <c r="I38" s="482" t="s">
        <v>233</v>
      </c>
      <c r="J38" s="482"/>
      <c r="K38" s="482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22"/>
      <c r="AU38" s="257"/>
      <c r="AV38" s="257"/>
      <c r="AW38" s="248"/>
      <c r="AX38" s="248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</row>
    <row r="39" spans="1:236" s="43" customFormat="1" ht="12.75" customHeight="1">
      <c r="A39" s="176" t="s">
        <v>194</v>
      </c>
      <c r="B39" s="140"/>
      <c r="C39" s="234"/>
      <c r="D39" s="234"/>
      <c r="E39" s="234"/>
      <c r="F39" s="234"/>
      <c r="G39" s="234"/>
      <c r="H39" s="234"/>
      <c r="I39" s="485" t="s">
        <v>624</v>
      </c>
      <c r="J39" s="485"/>
      <c r="L39" s="234"/>
      <c r="M39" s="234"/>
      <c r="N39" s="258"/>
      <c r="O39" s="234"/>
      <c r="P39" s="234"/>
      <c r="Q39" s="234"/>
      <c r="R39" s="234"/>
      <c r="S39" s="234"/>
      <c r="T39" s="234"/>
      <c r="U39" s="238" t="s">
        <v>196</v>
      </c>
      <c r="V39" s="234"/>
      <c r="W39" s="234"/>
      <c r="X39" s="234"/>
      <c r="Y39" s="234"/>
      <c r="Z39" s="234"/>
      <c r="AA39" s="234"/>
      <c r="AB39" s="234"/>
      <c r="AC39" s="234"/>
      <c r="AD39" s="448" t="s">
        <v>196</v>
      </c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22"/>
      <c r="AU39" s="257"/>
      <c r="AV39" s="257"/>
      <c r="AW39" s="248"/>
      <c r="AX39" s="248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</row>
    <row r="40" spans="1:236" s="43" customFormat="1" ht="12.75" customHeight="1">
      <c r="A40" s="258"/>
      <c r="B40" s="236"/>
      <c r="C40" s="234"/>
      <c r="D40" s="234"/>
      <c r="E40" s="234"/>
      <c r="F40" s="234"/>
      <c r="G40" s="234"/>
      <c r="H40" s="234"/>
      <c r="I40" s="235" t="s">
        <v>621</v>
      </c>
      <c r="J40" s="235" t="s">
        <v>620</v>
      </c>
      <c r="K40" s="260"/>
      <c r="N40" s="258"/>
      <c r="O40" s="234"/>
      <c r="P40" s="234"/>
      <c r="Q40" s="234"/>
      <c r="R40" s="234"/>
      <c r="S40" s="234"/>
      <c r="T40" s="234"/>
      <c r="U40" s="238" t="s">
        <v>197</v>
      </c>
      <c r="V40" s="234"/>
      <c r="W40" s="234"/>
      <c r="X40" s="234"/>
      <c r="Y40" s="234"/>
      <c r="Z40" s="234"/>
      <c r="AA40" s="234"/>
      <c r="AB40" s="234"/>
      <c r="AC40" s="234"/>
      <c r="AD40" s="448" t="s">
        <v>197</v>
      </c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22"/>
      <c r="AU40" s="257"/>
      <c r="AV40" s="257"/>
      <c r="AW40" s="248"/>
      <c r="AX40" s="248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</row>
    <row r="41" spans="1:236" s="43" customFormat="1" ht="12.75" customHeight="1">
      <c r="A41" s="258"/>
      <c r="B41" s="236"/>
      <c r="C41" s="234"/>
      <c r="D41" s="234"/>
      <c r="E41" s="234"/>
      <c r="H41" s="234"/>
      <c r="I41" s="235" t="s">
        <v>622</v>
      </c>
      <c r="J41" s="234" t="s">
        <v>32</v>
      </c>
      <c r="M41" s="234"/>
      <c r="N41" s="258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22"/>
      <c r="AU41" s="257"/>
      <c r="AV41" s="257"/>
      <c r="AW41" s="248"/>
      <c r="AX41" s="248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</row>
    <row r="42" spans="1:236" s="43" customFormat="1" ht="12.75" customHeight="1">
      <c r="A42" s="258"/>
      <c r="B42" s="236"/>
      <c r="C42" s="234"/>
      <c r="D42" s="234"/>
      <c r="E42" s="234"/>
      <c r="F42" s="234"/>
      <c r="G42" s="234"/>
      <c r="H42" s="234"/>
      <c r="I42" s="234" t="s">
        <v>623</v>
      </c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22"/>
      <c r="AU42" s="257"/>
      <c r="AV42" s="257"/>
      <c r="AW42" s="248"/>
      <c r="AX42" s="248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</row>
    <row r="43" spans="1:236" s="43" customFormat="1" ht="12.75" customHeight="1">
      <c r="A43" s="258"/>
      <c r="B43" s="236"/>
      <c r="C43" s="234"/>
      <c r="D43" s="234"/>
      <c r="E43" s="234"/>
      <c r="F43" s="234"/>
      <c r="G43" s="234"/>
      <c r="H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22"/>
      <c r="AU43" s="257"/>
      <c r="AV43" s="257"/>
      <c r="AW43" s="248"/>
      <c r="AX43" s="248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</row>
    <row r="44" spans="1:157" s="43" customFormat="1" ht="12.75" customHeight="1">
      <c r="A44" s="235"/>
      <c r="B44" s="236"/>
      <c r="C44" s="176" t="s">
        <v>195</v>
      </c>
      <c r="D44" s="237"/>
      <c r="E44" s="235"/>
      <c r="F44" s="238"/>
      <c r="G44" s="239"/>
      <c r="H44" s="239"/>
      <c r="I44" s="176" t="s">
        <v>195</v>
      </c>
      <c r="J44" s="239"/>
      <c r="K44" s="237"/>
      <c r="L44" s="237"/>
      <c r="M44" s="239"/>
      <c r="N44" s="237"/>
      <c r="O44" s="239"/>
      <c r="P44" s="176" t="s">
        <v>195</v>
      </c>
      <c r="Q44" s="176"/>
      <c r="R44" s="237"/>
      <c r="S44" s="237"/>
      <c r="T44" s="240"/>
      <c r="U44" s="237"/>
      <c r="V44" s="176" t="s">
        <v>195</v>
      </c>
      <c r="W44" s="239"/>
      <c r="X44" s="239"/>
      <c r="Y44" s="237"/>
      <c r="Z44" s="239"/>
      <c r="AA44" s="235"/>
      <c r="AB44" s="237"/>
      <c r="AC44" s="176" t="s">
        <v>195</v>
      </c>
      <c r="AD44" s="237"/>
      <c r="AE44" s="237"/>
      <c r="AF44" s="235"/>
      <c r="AG44" s="239"/>
      <c r="AH44" s="235"/>
      <c r="AJ44" s="176" t="s">
        <v>195</v>
      </c>
      <c r="AK44" s="237"/>
      <c r="AL44" s="237"/>
      <c r="AM44" s="237"/>
      <c r="AN44" s="237"/>
      <c r="AO44" s="239"/>
      <c r="AP44" s="176"/>
      <c r="AQ44" s="176" t="s">
        <v>195</v>
      </c>
      <c r="AR44" s="239"/>
      <c r="AS44" s="235"/>
      <c r="AT44" s="235"/>
      <c r="AU44" s="239"/>
      <c r="AV44" s="239"/>
      <c r="AW44" s="241"/>
      <c r="AX44" s="241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</row>
    <row r="45" spans="1:157" s="43" customFormat="1" ht="12.75" customHeight="1">
      <c r="A45" s="235"/>
      <c r="B45" s="236"/>
      <c r="C45" s="174" t="s">
        <v>579</v>
      </c>
      <c r="D45" s="237"/>
      <c r="E45" s="235"/>
      <c r="F45" s="237"/>
      <c r="G45" s="239"/>
      <c r="H45" s="239"/>
      <c r="I45" s="174" t="s">
        <v>579</v>
      </c>
      <c r="J45" s="239"/>
      <c r="K45" s="237"/>
      <c r="L45" s="237"/>
      <c r="M45" s="239"/>
      <c r="N45" s="237"/>
      <c r="O45" s="239"/>
      <c r="P45" s="174" t="s">
        <v>579</v>
      </c>
      <c r="Q45" s="174"/>
      <c r="R45" s="237"/>
      <c r="S45" s="237"/>
      <c r="T45" s="240"/>
      <c r="U45" s="237"/>
      <c r="V45" s="174" t="s">
        <v>579</v>
      </c>
      <c r="W45" s="239"/>
      <c r="X45" s="239"/>
      <c r="Y45" s="237"/>
      <c r="Z45" s="239"/>
      <c r="AA45" s="235"/>
      <c r="AB45" s="237"/>
      <c r="AC45" s="174" t="s">
        <v>579</v>
      </c>
      <c r="AD45" s="237"/>
      <c r="AE45" s="237"/>
      <c r="AF45" s="235"/>
      <c r="AG45" s="239"/>
      <c r="AH45" s="235"/>
      <c r="AJ45" s="174" t="s">
        <v>579</v>
      </c>
      <c r="AK45" s="237"/>
      <c r="AL45" s="237"/>
      <c r="AM45" s="237"/>
      <c r="AN45" s="237"/>
      <c r="AO45" s="239"/>
      <c r="AP45" s="174"/>
      <c r="AQ45" s="174" t="s">
        <v>579</v>
      </c>
      <c r="AR45" s="239"/>
      <c r="AS45" s="235"/>
      <c r="AT45" s="235"/>
      <c r="AU45" s="239"/>
      <c r="AV45" s="239"/>
      <c r="AW45" s="241"/>
      <c r="AX45" s="241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</row>
    <row r="46" spans="1:157" s="43" customFormat="1" ht="12.75" customHeight="1">
      <c r="A46" s="235"/>
      <c r="B46" s="236"/>
      <c r="C46" s="174" t="s">
        <v>198</v>
      </c>
      <c r="D46" s="237"/>
      <c r="E46" s="235"/>
      <c r="F46" s="237"/>
      <c r="G46" s="239"/>
      <c r="H46" s="239"/>
      <c r="I46" s="174" t="s">
        <v>198</v>
      </c>
      <c r="J46" s="239"/>
      <c r="K46" s="237"/>
      <c r="L46" s="237"/>
      <c r="M46" s="239"/>
      <c r="N46" s="237"/>
      <c r="O46" s="239"/>
      <c r="P46" s="174" t="s">
        <v>198</v>
      </c>
      <c r="Q46" s="174"/>
      <c r="R46" s="237"/>
      <c r="S46" s="237"/>
      <c r="T46" s="240"/>
      <c r="U46" s="237"/>
      <c r="V46" s="174" t="s">
        <v>198</v>
      </c>
      <c r="W46" s="239"/>
      <c r="X46" s="239"/>
      <c r="Y46" s="237"/>
      <c r="Z46" s="239"/>
      <c r="AA46" s="235"/>
      <c r="AB46" s="237"/>
      <c r="AC46" s="174" t="s">
        <v>198</v>
      </c>
      <c r="AD46" s="237"/>
      <c r="AE46" s="237"/>
      <c r="AF46" s="237"/>
      <c r="AG46" s="239"/>
      <c r="AH46" s="235"/>
      <c r="AJ46" s="174" t="s">
        <v>198</v>
      </c>
      <c r="AK46" s="237"/>
      <c r="AL46" s="237"/>
      <c r="AM46" s="237"/>
      <c r="AN46" s="237"/>
      <c r="AO46" s="239"/>
      <c r="AP46" s="174"/>
      <c r="AQ46" s="174" t="s">
        <v>198</v>
      </c>
      <c r="AR46" s="239"/>
      <c r="AS46" s="235"/>
      <c r="AT46" s="235"/>
      <c r="AU46" s="239"/>
      <c r="AV46" s="239"/>
      <c r="AW46" s="241"/>
      <c r="AX46" s="241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</row>
    <row r="47" spans="1:157" s="43" customFormat="1" ht="12.75" customHeight="1">
      <c r="A47" s="235"/>
      <c r="B47" s="236"/>
      <c r="C47" s="174" t="s">
        <v>199</v>
      </c>
      <c r="D47" s="237"/>
      <c r="E47" s="235"/>
      <c r="F47" s="237"/>
      <c r="G47" s="239"/>
      <c r="H47" s="239"/>
      <c r="I47" s="174" t="s">
        <v>199</v>
      </c>
      <c r="J47" s="239"/>
      <c r="K47" s="237"/>
      <c r="L47" s="237"/>
      <c r="M47" s="239"/>
      <c r="N47" s="237"/>
      <c r="O47" s="239"/>
      <c r="P47" s="174" t="s">
        <v>199</v>
      </c>
      <c r="Q47" s="174"/>
      <c r="R47" s="237"/>
      <c r="S47" s="237"/>
      <c r="T47" s="240"/>
      <c r="U47" s="237"/>
      <c r="V47" s="174" t="s">
        <v>199</v>
      </c>
      <c r="W47" s="239"/>
      <c r="X47" s="239"/>
      <c r="Y47" s="237"/>
      <c r="Z47" s="239"/>
      <c r="AA47" s="235"/>
      <c r="AB47" s="237"/>
      <c r="AC47" s="174" t="s">
        <v>199</v>
      </c>
      <c r="AD47" s="237"/>
      <c r="AE47" s="237"/>
      <c r="AF47" s="237"/>
      <c r="AG47" s="239"/>
      <c r="AH47" s="235"/>
      <c r="AJ47" s="174" t="s">
        <v>199</v>
      </c>
      <c r="AK47" s="237"/>
      <c r="AL47" s="237"/>
      <c r="AM47" s="237"/>
      <c r="AN47" s="237"/>
      <c r="AO47" s="239"/>
      <c r="AP47" s="174"/>
      <c r="AQ47" s="174" t="s">
        <v>199</v>
      </c>
      <c r="AR47" s="239"/>
      <c r="AS47" s="235"/>
      <c r="AT47" s="235"/>
      <c r="AU47" s="239"/>
      <c r="AV47" s="239"/>
      <c r="AW47" s="241"/>
      <c r="AX47" s="241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</row>
    <row r="48" spans="1:157" s="43" customFormat="1" ht="12.75" customHeight="1">
      <c r="A48" s="235"/>
      <c r="B48" s="236"/>
      <c r="C48" s="174" t="s">
        <v>200</v>
      </c>
      <c r="D48" s="237"/>
      <c r="E48" s="235"/>
      <c r="F48" s="176"/>
      <c r="G48" s="239"/>
      <c r="H48" s="176"/>
      <c r="I48" s="174" t="s">
        <v>200</v>
      </c>
      <c r="J48" s="237"/>
      <c r="K48" s="176"/>
      <c r="L48" s="176"/>
      <c r="M48" s="239"/>
      <c r="N48" s="176"/>
      <c r="O48" s="235"/>
      <c r="P48" s="174" t="s">
        <v>200</v>
      </c>
      <c r="Q48" s="174"/>
      <c r="R48" s="176"/>
      <c r="S48" s="176"/>
      <c r="T48" s="235"/>
      <c r="U48" s="235"/>
      <c r="V48" s="174" t="s">
        <v>200</v>
      </c>
      <c r="W48" s="235"/>
      <c r="X48" s="235"/>
      <c r="Y48" s="176"/>
      <c r="Z48" s="239"/>
      <c r="AA48" s="235"/>
      <c r="AB48" s="237"/>
      <c r="AC48" s="174" t="s">
        <v>200</v>
      </c>
      <c r="AD48" s="235"/>
      <c r="AE48" s="176"/>
      <c r="AF48" s="237"/>
      <c r="AG48" s="235"/>
      <c r="AH48" s="235"/>
      <c r="AJ48" s="174" t="s">
        <v>200</v>
      </c>
      <c r="AK48" s="237"/>
      <c r="AL48" s="176"/>
      <c r="AM48" s="176"/>
      <c r="AN48" s="237"/>
      <c r="AO48" s="235"/>
      <c r="AP48" s="174"/>
      <c r="AQ48" s="174" t="s">
        <v>200</v>
      </c>
      <c r="AR48" s="176"/>
      <c r="AS48" s="235"/>
      <c r="AT48" s="235"/>
      <c r="AU48" s="235"/>
      <c r="AV48" s="239"/>
      <c r="AW48" s="241"/>
      <c r="AX48" s="241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</row>
    <row r="49" spans="1:157" s="43" customFormat="1" ht="12.75" customHeight="1">
      <c r="A49" s="235"/>
      <c r="B49" s="236"/>
      <c r="C49" s="174" t="s">
        <v>201</v>
      </c>
      <c r="D49" s="237"/>
      <c r="E49" s="235"/>
      <c r="F49" s="174"/>
      <c r="G49" s="239"/>
      <c r="H49" s="174"/>
      <c r="I49" s="174" t="s">
        <v>201</v>
      </c>
      <c r="J49" s="237"/>
      <c r="K49" s="174"/>
      <c r="L49" s="174"/>
      <c r="M49" s="239"/>
      <c r="N49" s="174"/>
      <c r="O49" s="235"/>
      <c r="P49" s="174" t="s">
        <v>201</v>
      </c>
      <c r="Q49" s="174"/>
      <c r="R49" s="174"/>
      <c r="S49" s="174"/>
      <c r="T49" s="235"/>
      <c r="U49" s="235"/>
      <c r="V49" s="174" t="s">
        <v>201</v>
      </c>
      <c r="W49" s="235"/>
      <c r="X49" s="235"/>
      <c r="Y49" s="174"/>
      <c r="Z49" s="239"/>
      <c r="AA49" s="235"/>
      <c r="AB49" s="237"/>
      <c r="AC49" s="174" t="s">
        <v>201</v>
      </c>
      <c r="AD49" s="235"/>
      <c r="AE49" s="174"/>
      <c r="AF49" s="237"/>
      <c r="AG49" s="235"/>
      <c r="AH49" s="235"/>
      <c r="AJ49" s="174" t="s">
        <v>201</v>
      </c>
      <c r="AK49" s="237"/>
      <c r="AL49" s="174"/>
      <c r="AM49" s="174"/>
      <c r="AN49" s="237"/>
      <c r="AO49" s="235"/>
      <c r="AP49" s="174"/>
      <c r="AQ49" s="174" t="s">
        <v>201</v>
      </c>
      <c r="AR49" s="174"/>
      <c r="AS49" s="235"/>
      <c r="AT49" s="235"/>
      <c r="AU49" s="235"/>
      <c r="AV49" s="239"/>
      <c r="AW49" s="241"/>
      <c r="AX49" s="176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</row>
    <row r="50" spans="1:157" s="43" customFormat="1" ht="12.75" customHeight="1">
      <c r="A50" s="235"/>
      <c r="B50" s="236"/>
      <c r="C50" s="174" t="s">
        <v>580</v>
      </c>
      <c r="D50" s="237"/>
      <c r="E50" s="235"/>
      <c r="F50" s="174"/>
      <c r="G50" s="239"/>
      <c r="H50" s="174"/>
      <c r="I50" s="174" t="s">
        <v>580</v>
      </c>
      <c r="J50" s="237"/>
      <c r="K50" s="174"/>
      <c r="L50" s="174"/>
      <c r="M50" s="239"/>
      <c r="N50" s="174"/>
      <c r="O50" s="235"/>
      <c r="P50" s="174" t="s">
        <v>580</v>
      </c>
      <c r="Q50" s="174"/>
      <c r="R50" s="174"/>
      <c r="S50" s="174"/>
      <c r="T50" s="235"/>
      <c r="U50" s="235"/>
      <c r="V50" s="174" t="s">
        <v>580</v>
      </c>
      <c r="W50" s="235"/>
      <c r="X50" s="235"/>
      <c r="Y50" s="174"/>
      <c r="Z50" s="239"/>
      <c r="AA50" s="235"/>
      <c r="AB50" s="237"/>
      <c r="AC50" s="174" t="s">
        <v>580</v>
      </c>
      <c r="AD50" s="235"/>
      <c r="AE50" s="174"/>
      <c r="AF50" s="237"/>
      <c r="AG50" s="235"/>
      <c r="AH50" s="235"/>
      <c r="AJ50" s="174" t="s">
        <v>580</v>
      </c>
      <c r="AK50" s="237"/>
      <c r="AL50" s="174"/>
      <c r="AM50" s="174"/>
      <c r="AN50" s="237"/>
      <c r="AO50" s="235"/>
      <c r="AP50" s="174"/>
      <c r="AQ50" s="174" t="s">
        <v>580</v>
      </c>
      <c r="AR50" s="174"/>
      <c r="AS50" s="235"/>
      <c r="AT50" s="235"/>
      <c r="AU50" s="235"/>
      <c r="AV50" s="239"/>
      <c r="AW50" s="241"/>
      <c r="AX50" s="174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</row>
    <row r="51" spans="1:157" s="43" customFormat="1" ht="12.75" customHeight="1">
      <c r="A51" s="235"/>
      <c r="B51" s="236"/>
      <c r="C51" s="174" t="s">
        <v>581</v>
      </c>
      <c r="D51" s="237"/>
      <c r="E51" s="235"/>
      <c r="F51" s="174"/>
      <c r="G51" s="239"/>
      <c r="H51" s="174"/>
      <c r="I51" s="174" t="s">
        <v>581</v>
      </c>
      <c r="J51" s="237"/>
      <c r="K51" s="174"/>
      <c r="L51" s="174"/>
      <c r="M51" s="239"/>
      <c r="N51" s="174"/>
      <c r="O51" s="235"/>
      <c r="P51" s="174" t="s">
        <v>581</v>
      </c>
      <c r="Q51" s="174"/>
      <c r="R51" s="174"/>
      <c r="S51" s="174"/>
      <c r="T51" s="235"/>
      <c r="U51" s="235"/>
      <c r="V51" s="174" t="s">
        <v>581</v>
      </c>
      <c r="W51" s="235"/>
      <c r="X51" s="235"/>
      <c r="Y51" s="174"/>
      <c r="Z51" s="239"/>
      <c r="AA51" s="235"/>
      <c r="AB51" s="237"/>
      <c r="AC51" s="174" t="s">
        <v>581</v>
      </c>
      <c r="AD51" s="235"/>
      <c r="AE51" s="174"/>
      <c r="AF51" s="237"/>
      <c r="AG51" s="235"/>
      <c r="AH51" s="235"/>
      <c r="AJ51" s="174" t="s">
        <v>581</v>
      </c>
      <c r="AK51" s="237"/>
      <c r="AL51" s="174"/>
      <c r="AM51" s="174"/>
      <c r="AN51" s="237"/>
      <c r="AO51" s="235"/>
      <c r="AP51" s="174"/>
      <c r="AQ51" s="174" t="s">
        <v>581</v>
      </c>
      <c r="AR51" s="174"/>
      <c r="AS51" s="235"/>
      <c r="AT51" s="235"/>
      <c r="AU51" s="235"/>
      <c r="AV51" s="239"/>
      <c r="AW51" s="241"/>
      <c r="AX51" s="174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</row>
    <row r="52" spans="1:157" s="43" customFormat="1" ht="12.75" customHeight="1">
      <c r="A52" s="235"/>
      <c r="B52" s="236"/>
      <c r="C52" s="174" t="s">
        <v>202</v>
      </c>
      <c r="D52" s="237"/>
      <c r="E52" s="235"/>
      <c r="F52" s="174"/>
      <c r="G52" s="239"/>
      <c r="H52" s="174"/>
      <c r="I52" s="174" t="s">
        <v>202</v>
      </c>
      <c r="J52" s="237"/>
      <c r="K52" s="174"/>
      <c r="L52" s="174"/>
      <c r="M52" s="239"/>
      <c r="N52" s="174"/>
      <c r="O52" s="235"/>
      <c r="P52" s="174" t="s">
        <v>202</v>
      </c>
      <c r="Q52" s="174"/>
      <c r="R52" s="174"/>
      <c r="S52" s="174"/>
      <c r="T52" s="235"/>
      <c r="U52" s="235"/>
      <c r="V52" s="174" t="s">
        <v>202</v>
      </c>
      <c r="W52" s="235"/>
      <c r="X52" s="235"/>
      <c r="Y52" s="174"/>
      <c r="Z52" s="239"/>
      <c r="AA52" s="235"/>
      <c r="AB52" s="237"/>
      <c r="AC52" s="174" t="s">
        <v>202</v>
      </c>
      <c r="AD52" s="235"/>
      <c r="AE52" s="174"/>
      <c r="AF52" s="237"/>
      <c r="AG52" s="235"/>
      <c r="AH52" s="235"/>
      <c r="AJ52" s="174" t="s">
        <v>202</v>
      </c>
      <c r="AK52" s="237"/>
      <c r="AL52" s="174"/>
      <c r="AM52" s="174"/>
      <c r="AN52" s="237"/>
      <c r="AO52" s="235"/>
      <c r="AP52" s="174"/>
      <c r="AQ52" s="174" t="s">
        <v>202</v>
      </c>
      <c r="AR52" s="174"/>
      <c r="AS52" s="235"/>
      <c r="AT52" s="235"/>
      <c r="AU52" s="235"/>
      <c r="AV52" s="239"/>
      <c r="AW52" s="241"/>
      <c r="AX52" s="174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</row>
    <row r="53" spans="1:157" s="43" customFormat="1" ht="12.75" customHeight="1">
      <c r="A53" s="235"/>
      <c r="B53" s="236"/>
      <c r="C53" s="174" t="s">
        <v>582</v>
      </c>
      <c r="D53" s="237"/>
      <c r="E53" s="235"/>
      <c r="F53" s="174"/>
      <c r="G53" s="239"/>
      <c r="H53" s="174"/>
      <c r="I53" s="174" t="s">
        <v>582</v>
      </c>
      <c r="J53" s="237"/>
      <c r="K53" s="174"/>
      <c r="L53" s="174"/>
      <c r="M53" s="239"/>
      <c r="N53" s="174"/>
      <c r="O53" s="235"/>
      <c r="P53" s="174" t="s">
        <v>582</v>
      </c>
      <c r="Q53" s="174"/>
      <c r="R53" s="174"/>
      <c r="S53" s="174"/>
      <c r="T53" s="235"/>
      <c r="U53" s="235"/>
      <c r="V53" s="174" t="s">
        <v>582</v>
      </c>
      <c r="W53" s="235"/>
      <c r="X53" s="235"/>
      <c r="Y53" s="174"/>
      <c r="Z53" s="239"/>
      <c r="AA53" s="235"/>
      <c r="AB53" s="237"/>
      <c r="AC53" s="174" t="s">
        <v>582</v>
      </c>
      <c r="AD53" s="235"/>
      <c r="AE53" s="174"/>
      <c r="AF53" s="237"/>
      <c r="AG53" s="235"/>
      <c r="AH53" s="235"/>
      <c r="AJ53" s="174" t="s">
        <v>582</v>
      </c>
      <c r="AK53" s="237"/>
      <c r="AL53" s="174"/>
      <c r="AM53" s="174"/>
      <c r="AN53" s="237"/>
      <c r="AO53" s="235"/>
      <c r="AP53" s="174"/>
      <c r="AQ53" s="174" t="s">
        <v>582</v>
      </c>
      <c r="AR53" s="174"/>
      <c r="AS53" s="235"/>
      <c r="AT53" s="235"/>
      <c r="AU53" s="235"/>
      <c r="AV53" s="239"/>
      <c r="AW53" s="241"/>
      <c r="AX53" s="174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</row>
    <row r="54" spans="1:157" s="43" customFormat="1" ht="12.75" customHeight="1">
      <c r="A54" s="235"/>
      <c r="B54" s="236"/>
      <c r="C54" s="174" t="s">
        <v>203</v>
      </c>
      <c r="D54" s="237"/>
      <c r="E54" s="235"/>
      <c r="F54" s="174"/>
      <c r="G54" s="239"/>
      <c r="H54" s="174"/>
      <c r="I54" s="174" t="s">
        <v>203</v>
      </c>
      <c r="J54" s="237"/>
      <c r="K54" s="174"/>
      <c r="L54" s="174"/>
      <c r="M54" s="239"/>
      <c r="N54" s="174"/>
      <c r="O54" s="235"/>
      <c r="P54" s="174" t="s">
        <v>203</v>
      </c>
      <c r="Q54" s="174"/>
      <c r="R54" s="174"/>
      <c r="S54" s="174"/>
      <c r="T54" s="235"/>
      <c r="U54" s="235"/>
      <c r="V54" s="174" t="s">
        <v>203</v>
      </c>
      <c r="W54" s="235"/>
      <c r="X54" s="235"/>
      <c r="Y54" s="174"/>
      <c r="Z54" s="239"/>
      <c r="AA54" s="235"/>
      <c r="AB54" s="237"/>
      <c r="AC54" s="174" t="s">
        <v>203</v>
      </c>
      <c r="AD54" s="235"/>
      <c r="AE54" s="174"/>
      <c r="AF54" s="237"/>
      <c r="AG54" s="235"/>
      <c r="AH54" s="235"/>
      <c r="AJ54" s="174" t="s">
        <v>203</v>
      </c>
      <c r="AK54" s="237"/>
      <c r="AL54" s="174"/>
      <c r="AM54" s="174"/>
      <c r="AN54" s="237"/>
      <c r="AO54" s="235"/>
      <c r="AP54" s="174"/>
      <c r="AQ54" s="174" t="s">
        <v>203</v>
      </c>
      <c r="AR54" s="174"/>
      <c r="AS54" s="235"/>
      <c r="AT54" s="235"/>
      <c r="AU54" s="235"/>
      <c r="AV54" s="239"/>
      <c r="AW54" s="241"/>
      <c r="AX54" s="174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</row>
    <row r="55" spans="1:157" s="43" customFormat="1" ht="12.75" customHeight="1">
      <c r="A55" s="235"/>
      <c r="B55" s="236"/>
      <c r="C55" s="174" t="s">
        <v>583</v>
      </c>
      <c r="D55" s="237"/>
      <c r="E55" s="235"/>
      <c r="F55" s="174"/>
      <c r="G55" s="239"/>
      <c r="H55" s="174"/>
      <c r="I55" s="174" t="s">
        <v>583</v>
      </c>
      <c r="J55" s="237"/>
      <c r="K55" s="174"/>
      <c r="L55" s="174"/>
      <c r="M55" s="239"/>
      <c r="N55" s="174"/>
      <c r="O55" s="235"/>
      <c r="P55" s="174" t="s">
        <v>583</v>
      </c>
      <c r="Q55" s="174"/>
      <c r="R55" s="174"/>
      <c r="S55" s="174"/>
      <c r="T55" s="235"/>
      <c r="U55" s="235"/>
      <c r="V55" s="174" t="s">
        <v>583</v>
      </c>
      <c r="W55" s="235"/>
      <c r="X55" s="235"/>
      <c r="Y55" s="174"/>
      <c r="Z55" s="239"/>
      <c r="AA55" s="235"/>
      <c r="AB55" s="237"/>
      <c r="AC55" s="174" t="s">
        <v>583</v>
      </c>
      <c r="AD55" s="235"/>
      <c r="AE55" s="174"/>
      <c r="AF55" s="237"/>
      <c r="AG55" s="235"/>
      <c r="AH55" s="235"/>
      <c r="AJ55" s="174" t="s">
        <v>583</v>
      </c>
      <c r="AK55" s="237"/>
      <c r="AL55" s="174"/>
      <c r="AM55" s="174"/>
      <c r="AN55" s="237"/>
      <c r="AO55" s="235"/>
      <c r="AP55" s="174"/>
      <c r="AQ55" s="174" t="s">
        <v>583</v>
      </c>
      <c r="AR55" s="174"/>
      <c r="AS55" s="235"/>
      <c r="AT55" s="235"/>
      <c r="AU55" s="235"/>
      <c r="AV55" s="239"/>
      <c r="AW55" s="241"/>
      <c r="AX55" s="174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</row>
    <row r="56" spans="1:157" s="43" customFormat="1" ht="12.75" customHeight="1">
      <c r="A56" s="235"/>
      <c r="B56" s="236"/>
      <c r="C56" s="174" t="s">
        <v>204</v>
      </c>
      <c r="D56" s="237"/>
      <c r="E56" s="235"/>
      <c r="F56" s="174"/>
      <c r="G56" s="239"/>
      <c r="H56" s="174"/>
      <c r="I56" s="174" t="s">
        <v>204</v>
      </c>
      <c r="J56" s="237"/>
      <c r="K56" s="174"/>
      <c r="L56" s="174"/>
      <c r="M56" s="239"/>
      <c r="N56" s="174"/>
      <c r="O56" s="235"/>
      <c r="P56" s="174" t="s">
        <v>204</v>
      </c>
      <c r="Q56" s="174"/>
      <c r="R56" s="174"/>
      <c r="S56" s="174"/>
      <c r="T56" s="235"/>
      <c r="U56" s="235"/>
      <c r="V56" s="174" t="s">
        <v>204</v>
      </c>
      <c r="W56" s="235"/>
      <c r="X56" s="235"/>
      <c r="Y56" s="174"/>
      <c r="Z56" s="239"/>
      <c r="AA56" s="235"/>
      <c r="AB56" s="237"/>
      <c r="AC56" s="174" t="s">
        <v>204</v>
      </c>
      <c r="AD56" s="235"/>
      <c r="AE56" s="174"/>
      <c r="AF56" s="237"/>
      <c r="AG56" s="235"/>
      <c r="AH56" s="235"/>
      <c r="AJ56" s="174" t="s">
        <v>204</v>
      </c>
      <c r="AK56" s="237"/>
      <c r="AL56" s="174"/>
      <c r="AM56" s="174"/>
      <c r="AN56" s="237"/>
      <c r="AO56" s="235"/>
      <c r="AP56" s="174"/>
      <c r="AQ56" s="174" t="s">
        <v>204</v>
      </c>
      <c r="AR56" s="174"/>
      <c r="AS56" s="235"/>
      <c r="AT56" s="235"/>
      <c r="AU56" s="235"/>
      <c r="AV56" s="239"/>
      <c r="AW56" s="241"/>
      <c r="AX56" s="174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</row>
    <row r="57" spans="1:157" s="43" customFormat="1" ht="12.75" customHeight="1">
      <c r="A57" s="235"/>
      <c r="B57" s="236"/>
      <c r="C57" s="174" t="s">
        <v>584</v>
      </c>
      <c r="D57" s="237"/>
      <c r="E57" s="235"/>
      <c r="F57" s="174"/>
      <c r="G57" s="239"/>
      <c r="H57" s="174"/>
      <c r="I57" s="174" t="s">
        <v>585</v>
      </c>
      <c r="J57" s="237"/>
      <c r="K57" s="174"/>
      <c r="L57" s="174"/>
      <c r="M57" s="239"/>
      <c r="N57" s="174"/>
      <c r="O57" s="235"/>
      <c r="P57" s="174" t="s">
        <v>585</v>
      </c>
      <c r="Q57" s="174"/>
      <c r="R57" s="174"/>
      <c r="S57" s="174"/>
      <c r="T57" s="235"/>
      <c r="U57" s="235"/>
      <c r="V57" s="174" t="s">
        <v>585</v>
      </c>
      <c r="W57" s="235"/>
      <c r="X57" s="235"/>
      <c r="Y57" s="174"/>
      <c r="Z57" s="239"/>
      <c r="AA57" s="235"/>
      <c r="AB57" s="237"/>
      <c r="AC57" s="174" t="s">
        <v>585</v>
      </c>
      <c r="AD57" s="235"/>
      <c r="AE57" s="174"/>
      <c r="AF57" s="237"/>
      <c r="AG57" s="235"/>
      <c r="AH57" s="235"/>
      <c r="AJ57" s="174" t="s">
        <v>585</v>
      </c>
      <c r="AK57" s="237"/>
      <c r="AL57" s="174"/>
      <c r="AM57" s="174"/>
      <c r="AN57" s="237"/>
      <c r="AO57" s="235"/>
      <c r="AP57" s="174"/>
      <c r="AQ57" s="174" t="s">
        <v>585</v>
      </c>
      <c r="AR57" s="174"/>
      <c r="AS57" s="235"/>
      <c r="AT57" s="235"/>
      <c r="AU57" s="235"/>
      <c r="AV57" s="239"/>
      <c r="AW57" s="241"/>
      <c r="AX57" s="174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</row>
    <row r="58" spans="1:157" s="43" customFormat="1" ht="12.75" customHeight="1">
      <c r="A58" s="235"/>
      <c r="B58" s="140"/>
      <c r="C58" s="174" t="s">
        <v>205</v>
      </c>
      <c r="D58" s="237"/>
      <c r="E58" s="235"/>
      <c r="F58" s="174"/>
      <c r="G58" s="239"/>
      <c r="H58" s="174"/>
      <c r="I58" s="174" t="s">
        <v>205</v>
      </c>
      <c r="J58" s="237"/>
      <c r="K58" s="174"/>
      <c r="L58" s="174"/>
      <c r="M58" s="239"/>
      <c r="N58" s="174"/>
      <c r="O58" s="235"/>
      <c r="P58" s="174" t="s">
        <v>205</v>
      </c>
      <c r="Q58" s="174"/>
      <c r="R58" s="174"/>
      <c r="S58" s="174"/>
      <c r="T58" s="235"/>
      <c r="U58" s="235"/>
      <c r="V58" s="174" t="s">
        <v>205</v>
      </c>
      <c r="W58" s="235"/>
      <c r="X58" s="235"/>
      <c r="Y58" s="174"/>
      <c r="Z58" s="239"/>
      <c r="AA58" s="235"/>
      <c r="AB58" s="237"/>
      <c r="AC58" s="174" t="s">
        <v>205</v>
      </c>
      <c r="AD58" s="235"/>
      <c r="AE58" s="174"/>
      <c r="AF58" s="237"/>
      <c r="AG58" s="235"/>
      <c r="AH58" s="235"/>
      <c r="AJ58" s="174" t="s">
        <v>205</v>
      </c>
      <c r="AK58" s="237"/>
      <c r="AL58" s="174"/>
      <c r="AM58" s="174"/>
      <c r="AN58" s="237"/>
      <c r="AO58" s="235"/>
      <c r="AP58" s="174"/>
      <c r="AQ58" s="174" t="s">
        <v>205</v>
      </c>
      <c r="AR58" s="174"/>
      <c r="AS58" s="235"/>
      <c r="AT58" s="235"/>
      <c r="AU58" s="235"/>
      <c r="AV58" s="239"/>
      <c r="AW58" s="241"/>
      <c r="AX58" s="174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</row>
    <row r="59" spans="1:157" s="43" customFormat="1" ht="12" customHeight="1">
      <c r="A59" s="261"/>
      <c r="B59" s="262"/>
      <c r="C59" s="174"/>
      <c r="D59" s="237"/>
      <c r="E59" s="235"/>
      <c r="F59" s="174"/>
      <c r="G59" s="239"/>
      <c r="H59" s="174"/>
      <c r="I59" s="174"/>
      <c r="J59" s="237"/>
      <c r="K59" s="174"/>
      <c r="L59" s="174"/>
      <c r="M59" s="239"/>
      <c r="N59" s="174"/>
      <c r="O59" s="235"/>
      <c r="P59" s="235"/>
      <c r="Q59" s="239"/>
      <c r="R59" s="174"/>
      <c r="S59" s="174"/>
      <c r="T59" s="235"/>
      <c r="U59" s="235"/>
      <c r="V59" s="174"/>
      <c r="W59" s="235"/>
      <c r="X59" s="235"/>
      <c r="Y59" s="174"/>
      <c r="Z59" s="239"/>
      <c r="AA59" s="235"/>
      <c r="AB59" s="237"/>
      <c r="AC59" s="174"/>
      <c r="AD59" s="235"/>
      <c r="AE59" s="174"/>
      <c r="AF59" s="237"/>
      <c r="AG59" s="235"/>
      <c r="AH59" s="237"/>
      <c r="AI59" s="235"/>
      <c r="AJ59" s="174"/>
      <c r="AK59" s="237"/>
      <c r="AL59" s="174"/>
      <c r="AM59" s="174"/>
      <c r="AN59" s="237"/>
      <c r="AO59" s="235"/>
      <c r="AP59" s="239"/>
      <c r="AQ59" s="174"/>
      <c r="AR59" s="174"/>
      <c r="AS59" s="237"/>
      <c r="AT59" s="174"/>
      <c r="AU59" s="235"/>
      <c r="AV59" s="239"/>
      <c r="AW59" s="241"/>
      <c r="AX59" s="174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</row>
    <row r="60" spans="1:50" s="25" customFormat="1" ht="12.75" customHeight="1">
      <c r="A60" s="263" t="s">
        <v>20</v>
      </c>
      <c r="B60" s="222"/>
      <c r="C60" s="164" t="s">
        <v>21</v>
      </c>
      <c r="D60" s="164" t="s">
        <v>22</v>
      </c>
      <c r="E60" s="164" t="s">
        <v>21</v>
      </c>
      <c r="F60" s="164" t="s">
        <v>21</v>
      </c>
      <c r="G60" s="164" t="s">
        <v>21</v>
      </c>
      <c r="H60" s="164" t="s">
        <v>21</v>
      </c>
      <c r="I60" s="164" t="s">
        <v>21</v>
      </c>
      <c r="J60" s="164" t="s">
        <v>21</v>
      </c>
      <c r="K60" s="164" t="s">
        <v>21</v>
      </c>
      <c r="L60" s="164" t="s">
        <v>21</v>
      </c>
      <c r="M60" s="164" t="s">
        <v>21</v>
      </c>
      <c r="N60" s="164" t="s">
        <v>21</v>
      </c>
      <c r="O60" s="164" t="s">
        <v>21</v>
      </c>
      <c r="P60" s="164" t="s">
        <v>21</v>
      </c>
      <c r="Q60" s="164" t="s">
        <v>22</v>
      </c>
      <c r="R60" s="164" t="s">
        <v>21</v>
      </c>
      <c r="S60" s="164" t="s">
        <v>21</v>
      </c>
      <c r="T60" s="164" t="s">
        <v>21</v>
      </c>
      <c r="U60" s="164" t="s">
        <v>21</v>
      </c>
      <c r="V60" s="164" t="s">
        <v>21</v>
      </c>
      <c r="W60" s="164" t="s">
        <v>21</v>
      </c>
      <c r="X60" s="164" t="s">
        <v>21</v>
      </c>
      <c r="Y60" s="164" t="s">
        <v>21</v>
      </c>
      <c r="Z60" s="164" t="s">
        <v>22</v>
      </c>
      <c r="AA60" s="164" t="s">
        <v>21</v>
      </c>
      <c r="AB60" s="164" t="s">
        <v>21</v>
      </c>
      <c r="AC60" s="164" t="s">
        <v>21</v>
      </c>
      <c r="AD60" s="164" t="s">
        <v>21</v>
      </c>
      <c r="AE60" s="164" t="s">
        <v>22</v>
      </c>
      <c r="AF60" s="164" t="s">
        <v>22</v>
      </c>
      <c r="AG60" s="164" t="s">
        <v>21</v>
      </c>
      <c r="AH60" s="164" t="s">
        <v>21</v>
      </c>
      <c r="AI60" s="164" t="s">
        <v>22</v>
      </c>
      <c r="AJ60" s="164" t="s">
        <v>22</v>
      </c>
      <c r="AK60" s="164" t="s">
        <v>22</v>
      </c>
      <c r="AL60" s="164" t="s">
        <v>22</v>
      </c>
      <c r="AM60" s="164" t="s">
        <v>21</v>
      </c>
      <c r="AN60" s="164" t="s">
        <v>22</v>
      </c>
      <c r="AO60" s="164" t="s">
        <v>21</v>
      </c>
      <c r="AP60" s="164" t="s">
        <v>22</v>
      </c>
      <c r="AQ60" s="164" t="s">
        <v>22</v>
      </c>
      <c r="AR60" s="164" t="s">
        <v>22</v>
      </c>
      <c r="AS60" s="164" t="s">
        <v>22</v>
      </c>
      <c r="AT60" s="195"/>
      <c r="AU60" s="221">
        <f>COUNTIF(C60:AS60,"já")+COUNTIF(C60:AS60,"nei")</f>
        <v>43</v>
      </c>
      <c r="AV60" s="221"/>
      <c r="AW60" s="221">
        <f>COUNTIF(C60:AS60,"já")</f>
        <v>14</v>
      </c>
      <c r="AX60" s="221">
        <f>COUNTIF(C60:AS60,"nei")</f>
        <v>29</v>
      </c>
    </row>
    <row r="61" spans="1:236" ht="12.75" customHeight="1" thickBot="1">
      <c r="A61" s="264"/>
      <c r="B61" s="265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66"/>
      <c r="AU61" s="267"/>
      <c r="AV61" s="268"/>
      <c r="AW61" s="269"/>
      <c r="AX61" s="266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</row>
    <row r="62" spans="1:236" ht="12.75" customHeight="1">
      <c r="A62" s="194" t="s">
        <v>206</v>
      </c>
      <c r="B62" s="140"/>
      <c r="C62" s="174"/>
      <c r="D62" s="237"/>
      <c r="E62" s="174"/>
      <c r="F62" s="174"/>
      <c r="G62" s="239"/>
      <c r="H62" s="174"/>
      <c r="I62" s="174"/>
      <c r="J62" s="237"/>
      <c r="K62" s="174"/>
      <c r="L62" s="174"/>
      <c r="M62" s="239"/>
      <c r="N62" s="174"/>
      <c r="O62" s="235"/>
      <c r="P62" s="235"/>
      <c r="Q62" s="239"/>
      <c r="R62" s="174"/>
      <c r="S62" s="174"/>
      <c r="T62" s="235"/>
      <c r="U62" s="235"/>
      <c r="V62" s="174"/>
      <c r="W62" s="235"/>
      <c r="X62" s="235"/>
      <c r="Y62" s="174"/>
      <c r="Z62" s="239"/>
      <c r="AA62" s="235"/>
      <c r="AB62" s="237"/>
      <c r="AC62" s="174"/>
      <c r="AD62" s="235"/>
      <c r="AE62" s="174"/>
      <c r="AF62" s="237"/>
      <c r="AG62" s="235"/>
      <c r="AH62" s="237"/>
      <c r="AI62" s="235"/>
      <c r="AJ62" s="174"/>
      <c r="AK62" s="237"/>
      <c r="AL62" s="174"/>
      <c r="AM62" s="174"/>
      <c r="AN62" s="237"/>
      <c r="AO62" s="235"/>
      <c r="AP62" s="239"/>
      <c r="AQ62" s="174"/>
      <c r="AR62" s="174"/>
      <c r="AS62" s="237"/>
      <c r="AT62" s="174"/>
      <c r="AU62" s="235"/>
      <c r="AV62" s="239"/>
      <c r="AW62" s="241"/>
      <c r="AX62" s="174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</row>
    <row r="63" spans="1:236" ht="12.75" customHeight="1">
      <c r="A63" s="194" t="s">
        <v>172</v>
      </c>
      <c r="B63" s="140"/>
      <c r="C63" s="174"/>
      <c r="D63" s="237"/>
      <c r="E63" s="174"/>
      <c r="F63" s="174"/>
      <c r="G63" s="239"/>
      <c r="H63" s="174"/>
      <c r="I63" s="174"/>
      <c r="J63" s="237"/>
      <c r="K63" s="174"/>
      <c r="L63" s="174"/>
      <c r="M63" s="239"/>
      <c r="N63" s="174"/>
      <c r="O63" s="235"/>
      <c r="P63" s="235"/>
      <c r="Q63" s="239"/>
      <c r="R63" s="174"/>
      <c r="S63" s="174"/>
      <c r="T63" s="235"/>
      <c r="U63" s="235"/>
      <c r="V63" s="174"/>
      <c r="W63" s="235"/>
      <c r="X63" s="235"/>
      <c r="Y63" s="174"/>
      <c r="Z63" s="239"/>
      <c r="AA63" s="235"/>
      <c r="AB63" s="237"/>
      <c r="AC63" s="174"/>
      <c r="AD63" s="235"/>
      <c r="AE63" s="174"/>
      <c r="AF63" s="237"/>
      <c r="AG63" s="235"/>
      <c r="AH63" s="237"/>
      <c r="AI63" s="235"/>
      <c r="AJ63" s="174"/>
      <c r="AK63" s="237"/>
      <c r="AL63" s="174"/>
      <c r="AM63" s="174"/>
      <c r="AN63" s="237"/>
      <c r="AO63" s="235"/>
      <c r="AP63" s="239"/>
      <c r="AQ63" s="174"/>
      <c r="AR63" s="174"/>
      <c r="AS63" s="237"/>
      <c r="AT63" s="174"/>
      <c r="AU63" s="235"/>
      <c r="AV63" s="239"/>
      <c r="AW63" s="241"/>
      <c r="AX63" s="174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</row>
    <row r="64" spans="1:236" ht="12.75" customHeight="1">
      <c r="A64" s="174" t="s">
        <v>207</v>
      </c>
      <c r="B64" s="140"/>
      <c r="C64" s="259">
        <f>+'4.1. Samtryggingard.'!C32-'4.1. Samtryggingard.'!C40</f>
        <v>4432405</v>
      </c>
      <c r="D64" s="259">
        <f>+'4.1. Samtryggingard.'!D32-'4.1. Samtryggingard.'!D40</f>
        <v>10011125</v>
      </c>
      <c r="E64" s="259">
        <f>+'4.1. Samtryggingard.'!E32-'4.1. Samtryggingard.'!E40</f>
        <v>16882469</v>
      </c>
      <c r="F64" s="259">
        <f>+'4.1. Samtryggingard.'!F32-'4.1. Samtryggingard.'!F40</f>
        <v>18171832</v>
      </c>
      <c r="G64" s="259">
        <f>+'4.1. Samtryggingard.'!G32-'4.1. Samtryggingard.'!G40</f>
        <v>490269</v>
      </c>
      <c r="H64" s="259">
        <f>+'4.1. Samtryggingard.'!H32-'4.1. Samtryggingard.'!H40</f>
        <v>4711046</v>
      </c>
      <c r="I64" s="259">
        <f>+'4.1. Samtryggingard.'!I32-'4.1. Samtryggingard.'!I40</f>
        <v>757260</v>
      </c>
      <c r="J64" s="259">
        <f>+'4.1. Samtryggingard.'!J32-'4.1. Samtryggingard.'!J40</f>
        <v>500821</v>
      </c>
      <c r="K64" s="259">
        <f>+'4.1. Samtryggingard.'!K32-'4.1. Samtryggingard.'!K40</f>
        <v>284907</v>
      </c>
      <c r="L64" s="259">
        <f>+'4.1. Samtryggingard.'!L32-'4.1. Samtryggingard.'!L40</f>
        <v>4487954</v>
      </c>
      <c r="M64" s="259">
        <f>+'4.1. Samtryggingard.'!M32-'4.1. Samtryggingard.'!M40</f>
        <v>4999470</v>
      </c>
      <c r="N64" s="259">
        <f>+'4.1. Samtryggingard.'!N32-'4.1. Samtryggingard.'!N40</f>
        <v>418017</v>
      </c>
      <c r="O64" s="259">
        <f>+'4.1. Samtryggingard.'!O32-'4.1. Samtryggingard.'!O40</f>
        <v>3201885</v>
      </c>
      <c r="P64" s="259">
        <f>+'4.1. Samtryggingard.'!P32-'4.1. Samtryggingard.'!P40</f>
        <v>4431495</v>
      </c>
      <c r="Q64" s="259">
        <f>+'4.1. Samtryggingard.'!Q32-'4.1. Samtryggingard.'!Q40</f>
        <v>3738292</v>
      </c>
      <c r="R64" s="259">
        <f>+'4.1. Samtryggingard.'!R32-'4.1. Samtryggingard.'!R40</f>
        <v>1875462</v>
      </c>
      <c r="S64" s="259">
        <f>+'4.1. Samtryggingard.'!S32-'4.1. Samtryggingard.'!S40</f>
        <v>712140</v>
      </c>
      <c r="T64" s="259">
        <f>+'4.1. Samtryggingard.'!T32-'4.1. Samtryggingard.'!T40</f>
        <v>1393656</v>
      </c>
      <c r="U64" s="259">
        <f>+'4.1. Samtryggingard.'!U32-'4.1. Samtryggingard.'!U40</f>
        <v>224811</v>
      </c>
      <c r="V64" s="259">
        <f>+'4.1. Samtryggingard.'!V32-'4.1. Samtryggingard.'!V40</f>
        <v>1553471</v>
      </c>
      <c r="W64" s="259">
        <f>+'4.1. Samtryggingard.'!W32-'4.1. Samtryggingard.'!W40</f>
        <v>156678</v>
      </c>
      <c r="X64" s="259">
        <f>+'4.1. Samtryggingard.'!X32-'4.1. Samtryggingard.'!X40</f>
        <v>1446719</v>
      </c>
      <c r="Y64" s="259">
        <f>+'4.1. Samtryggingard.'!Y32-'4.1. Samtryggingard.'!Y40</f>
        <v>1567216</v>
      </c>
      <c r="Z64" s="259">
        <f>+'4.1. Samtryggingard.'!Z32-'4.1. Samtryggingard.'!Z40</f>
        <v>976059</v>
      </c>
      <c r="AA64" s="259">
        <f>+'4.1. Samtryggingard.'!AA32-'4.1. Samtryggingard.'!AA40</f>
        <v>1017043</v>
      </c>
      <c r="AB64" s="259">
        <f>+'4.1. Samtryggingard.'!AB32-'4.1. Samtryggingard.'!AB40</f>
        <v>1086435</v>
      </c>
      <c r="AC64" s="259">
        <f>+'4.1. Samtryggingard.'!AC32-'4.1. Samtryggingard.'!AC40</f>
        <v>1411432</v>
      </c>
      <c r="AD64" s="259">
        <f>+'4.1. Samtryggingard.'!AD32-'4.1. Samtryggingard.'!AD40</f>
        <v>862395</v>
      </c>
      <c r="AE64" s="259">
        <f>+'4.1. Samtryggingard.'!AE32-'4.1. Samtryggingard.'!AE40</f>
        <v>378713</v>
      </c>
      <c r="AF64" s="259">
        <f>+'4.1. Samtryggingard.'!AF32-'4.1. Samtryggingard.'!AF40</f>
        <v>410772</v>
      </c>
      <c r="AG64" s="259">
        <f>+'4.1. Samtryggingard.'!AG32-'4.1. Samtryggingard.'!AG40</f>
        <v>276728</v>
      </c>
      <c r="AH64" s="259">
        <f>+'4.1. Samtryggingard.'!AH32-'4.1. Samtryggingard.'!AH40</f>
        <v>19551</v>
      </c>
      <c r="AI64" s="259">
        <f>+'4.1. Samtryggingard.'!AI32-'4.1. Samtryggingard.'!AI40</f>
        <v>126376</v>
      </c>
      <c r="AJ64" s="259">
        <f>+'4.1. Samtryggingard.'!AJ32-'4.1. Samtryggingard.'!AJ40</f>
        <v>117121</v>
      </c>
      <c r="AK64" s="259">
        <f>+'4.1. Samtryggingard.'!AK32-'4.1. Samtryggingard.'!AK40</f>
        <v>178773</v>
      </c>
      <c r="AL64" s="259">
        <f>+'4.1. Samtryggingard.'!AL32-'4.1. Samtryggingard.'!AL40</f>
        <v>86003</v>
      </c>
      <c r="AM64" s="259">
        <f>+'4.1. Samtryggingard.'!AM32-'4.1. Samtryggingard.'!AM40</f>
        <v>112094</v>
      </c>
      <c r="AN64" s="259">
        <f>+'4.1. Samtryggingard.'!AN32-'4.1. Samtryggingard.'!AN40</f>
        <v>41333</v>
      </c>
      <c r="AO64" s="259">
        <f>+'4.1. Samtryggingard.'!AO32-'4.1. Samtryggingard.'!AO40</f>
        <v>46086</v>
      </c>
      <c r="AP64" s="259">
        <f>+'4.1. Samtryggingard.'!AP32-'4.1. Samtryggingard.'!AP40</f>
        <v>29895</v>
      </c>
      <c r="AQ64" s="259">
        <f>+'4.1. Samtryggingard.'!AQ32-'4.1. Samtryggingard.'!AQ40</f>
        <v>18725</v>
      </c>
      <c r="AR64" s="259">
        <f>+'4.1. Samtryggingard.'!AR32-'4.1. Samtryggingard.'!AR40</f>
        <v>4725</v>
      </c>
      <c r="AS64" s="259">
        <f>+'4.1. Samtryggingard.'!AS32-'4.1. Samtryggingard.'!AS40</f>
        <v>3617</v>
      </c>
      <c r="AT64" s="259"/>
      <c r="AU64" s="259">
        <f>+'4.1. Samtryggingard.'!AU32-'4.1. Samtryggingard.'!AU40</f>
        <v>93653276</v>
      </c>
      <c r="AV64" s="259"/>
      <c r="AW64" s="259">
        <f>+'4.1. Samtryggingard.'!AW32-'4.1. Samtryggingard.'!AW40</f>
        <v>16121529</v>
      </c>
      <c r="AX64" s="259">
        <f>+'4.1. Samtryggingard.'!AX32-'4.1. Samtryggingard.'!AX40</f>
        <v>77531747</v>
      </c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</row>
    <row r="65" spans="1:50" ht="12.75" customHeight="1">
      <c r="A65" s="174" t="s">
        <v>208</v>
      </c>
      <c r="B65" s="140"/>
      <c r="C65" s="270">
        <f>+'4.1. Samtryggingard.'!C45+'4.1. Samtryggingard.'!C49-'4.1. Samtryggingard.'!C47</f>
        <v>56399</v>
      </c>
      <c r="D65" s="270">
        <f>+'4.1. Samtryggingard.'!D45+'4.1. Samtryggingard.'!D49-'4.1. Samtryggingard.'!D47</f>
        <v>196164</v>
      </c>
      <c r="E65" s="270">
        <f>+'4.1. Samtryggingard.'!E45+'4.1. Samtryggingard.'!E49-'4.1. Samtryggingard.'!E47</f>
        <v>131531</v>
      </c>
      <c r="F65" s="270">
        <f>+'4.1. Samtryggingard.'!F45+'4.1. Samtryggingard.'!F49-'4.1. Samtryggingard.'!F47</f>
        <v>136518</v>
      </c>
      <c r="G65" s="270">
        <f>+'4.1. Samtryggingard.'!G45+'4.1. Samtryggingard.'!G49-'4.1. Samtryggingard.'!G47</f>
        <v>11817</v>
      </c>
      <c r="H65" s="270">
        <f>+'4.1. Samtryggingard.'!H45+'4.1. Samtryggingard.'!H49-'4.1. Samtryggingard.'!H47</f>
        <v>103796</v>
      </c>
      <c r="I65" s="270">
        <f>+'4.1. Samtryggingard.'!I45+'4.1. Samtryggingard.'!I49-'4.1. Samtryggingard.'!I47</f>
        <v>23028</v>
      </c>
      <c r="J65" s="270">
        <f>+'4.1. Samtryggingard.'!J45+'4.1. Samtryggingard.'!J49-'4.1. Samtryggingard.'!J47</f>
        <v>4103</v>
      </c>
      <c r="K65" s="270">
        <f>+'4.1. Samtryggingard.'!K45+'4.1. Samtryggingard.'!K49-'4.1. Samtryggingard.'!K47</f>
        <v>7608</v>
      </c>
      <c r="L65" s="270">
        <f>+'4.1. Samtryggingard.'!L45+'4.1. Samtryggingard.'!L49-'4.1. Samtryggingard.'!L47</f>
        <v>106001</v>
      </c>
      <c r="M65" s="270">
        <f>+'4.1. Samtryggingard.'!M45+'4.1. Samtryggingard.'!M49-'4.1. Samtryggingard.'!M47</f>
        <v>68857</v>
      </c>
      <c r="N65" s="270">
        <f>+'4.1. Samtryggingard.'!N45+'4.1. Samtryggingard.'!N49-'4.1. Samtryggingard.'!N47</f>
        <v>17818</v>
      </c>
      <c r="O65" s="270">
        <f>+'4.1. Samtryggingard.'!O45+'4.1. Samtryggingard.'!O49-'4.1. Samtryggingard.'!O47</f>
        <v>66862</v>
      </c>
      <c r="P65" s="270">
        <f>+'4.1. Samtryggingard.'!P45+'4.1. Samtryggingard.'!P49-'4.1. Samtryggingard.'!P47</f>
        <v>64479</v>
      </c>
      <c r="Q65" s="270">
        <f>+'4.1. Samtryggingard.'!Q45+'4.1. Samtryggingard.'!Q49-'4.1. Samtryggingard.'!Q47</f>
        <v>43116</v>
      </c>
      <c r="R65" s="270">
        <f>+'4.1. Samtryggingard.'!R45+'4.1. Samtryggingard.'!R49-'4.1. Samtryggingard.'!R47</f>
        <v>11934</v>
      </c>
      <c r="S65" s="270">
        <f>+'4.1. Samtryggingard.'!S45+'4.1. Samtryggingard.'!S49-'4.1. Samtryggingard.'!S47</f>
        <v>16847</v>
      </c>
      <c r="T65" s="270">
        <f>+'4.1. Samtryggingard.'!T45+'4.1. Samtryggingard.'!T49-'4.1. Samtryggingard.'!T47</f>
        <v>43741</v>
      </c>
      <c r="U65" s="270">
        <f>+'4.1. Samtryggingard.'!U45+'4.1. Samtryggingard.'!U49-'4.1. Samtryggingard.'!U47</f>
        <v>18892</v>
      </c>
      <c r="V65" s="270">
        <f>+'4.1. Samtryggingard.'!V45+'4.1. Samtryggingard.'!V49-'4.1. Samtryggingard.'!V47</f>
        <v>48698</v>
      </c>
      <c r="W65" s="270">
        <f>+'4.1. Samtryggingard.'!W45+'4.1. Samtryggingard.'!W49-'4.1. Samtryggingard.'!W47</f>
        <v>4572</v>
      </c>
      <c r="X65" s="270">
        <f>+'4.1. Samtryggingard.'!X45+'4.1. Samtryggingard.'!X49-'4.1. Samtryggingard.'!X47</f>
        <v>45450</v>
      </c>
      <c r="Y65" s="270">
        <f>+'4.1. Samtryggingard.'!Y45+'4.1. Samtryggingard.'!Y49-'4.1. Samtryggingard.'!Y47</f>
        <v>28241</v>
      </c>
      <c r="Z65" s="270">
        <f>+'4.1. Samtryggingard.'!Z45+'4.1. Samtryggingard.'!Z49-'4.1. Samtryggingard.'!Z47</f>
        <v>22715</v>
      </c>
      <c r="AA65" s="270">
        <f>+'4.1. Samtryggingard.'!AA45+'4.1. Samtryggingard.'!AA49-'4.1. Samtryggingard.'!AA47</f>
        <v>36489</v>
      </c>
      <c r="AB65" s="270">
        <f>+'4.1. Samtryggingard.'!AB45+'4.1. Samtryggingard.'!AB49-'4.1. Samtryggingard.'!AB47</f>
        <v>10559</v>
      </c>
      <c r="AC65" s="270">
        <f>+'4.1. Samtryggingard.'!AC45+'4.1. Samtryggingard.'!AC49-'4.1. Samtryggingard.'!AC47</f>
        <v>3630</v>
      </c>
      <c r="AD65" s="270">
        <f>+'4.1. Samtryggingard.'!AD45+'4.1. Samtryggingard.'!AD49-'4.1. Samtryggingard.'!AD47</f>
        <v>4487</v>
      </c>
      <c r="AE65" s="270">
        <f>+'4.1. Samtryggingard.'!AE45+'4.1. Samtryggingard.'!AE49-'4.1. Samtryggingard.'!AE47</f>
        <v>8679</v>
      </c>
      <c r="AF65" s="270">
        <f>+'4.1. Samtryggingard.'!AF45+'4.1. Samtryggingard.'!AF49-'4.1. Samtryggingard.'!AF47</f>
        <v>11170</v>
      </c>
      <c r="AG65" s="270">
        <f>+'4.1. Samtryggingard.'!AG45+'4.1. Samtryggingard.'!AG49-'4.1. Samtryggingard.'!AG47</f>
        <v>3865</v>
      </c>
      <c r="AH65" s="270">
        <f>+'4.1. Samtryggingard.'!AH45+'4.1. Samtryggingard.'!AH49-'4.1. Samtryggingard.'!AH47</f>
        <v>0</v>
      </c>
      <c r="AI65" s="270">
        <f>+'4.1. Samtryggingard.'!AI45+'4.1. Samtryggingard.'!AI49-'4.1. Samtryggingard.'!AI47</f>
        <v>-2427</v>
      </c>
      <c r="AJ65" s="270">
        <f>+'4.1. Samtryggingard.'!AJ45+'4.1. Samtryggingard.'!AJ49-'4.1. Samtryggingard.'!AJ47</f>
        <v>21340</v>
      </c>
      <c r="AK65" s="270">
        <f>+'4.1. Samtryggingard.'!AK45+'4.1. Samtryggingard.'!AK49-'4.1. Samtryggingard.'!AK47</f>
        <v>5063</v>
      </c>
      <c r="AL65" s="270">
        <f>+'4.1. Samtryggingard.'!AL45+'4.1. Samtryggingard.'!AL49-'4.1. Samtryggingard.'!AL47</f>
        <v>5211</v>
      </c>
      <c r="AM65" s="270">
        <f>+'4.1. Samtryggingard.'!AM45+'4.1. Samtryggingard.'!AM49-'4.1. Samtryggingard.'!AM47</f>
        <v>2859</v>
      </c>
      <c r="AN65" s="270">
        <f>+'4.1. Samtryggingard.'!AN45+'4.1. Samtryggingard.'!AN49-'4.1. Samtryggingard.'!AN47</f>
        <v>3210</v>
      </c>
      <c r="AO65" s="270">
        <f>+'4.1. Samtryggingard.'!AO45+'4.1. Samtryggingard.'!AO49-'4.1. Samtryggingard.'!AO47</f>
        <v>909</v>
      </c>
      <c r="AP65" s="270">
        <f>+'4.1. Samtryggingard.'!AP45+'4.1. Samtryggingard.'!AP49-'4.1. Samtryggingard.'!AP47</f>
        <v>1854</v>
      </c>
      <c r="AQ65" s="270">
        <f>+'4.1. Samtryggingard.'!AQ45+'4.1. Samtryggingard.'!AQ49-'4.1. Samtryggingard.'!AQ47</f>
        <v>510</v>
      </c>
      <c r="AR65" s="270">
        <f>+'4.1. Samtryggingard.'!AR45+'4.1. Samtryggingard.'!AR49-'4.1. Samtryggingard.'!AR47</f>
        <v>1869</v>
      </c>
      <c r="AS65" s="270">
        <f>+'4.1. Samtryggingard.'!AS45+'4.1. Samtryggingard.'!AS49-'4.1. Samtryggingard.'!AS47</f>
        <v>3257</v>
      </c>
      <c r="AT65" s="270"/>
      <c r="AU65" s="270">
        <f>+'4.1. Samtryggingard.'!AU45+'4.1. Samtryggingard.'!AU49-'4.1. Samtryggingard.'!AU47</f>
        <v>1401721</v>
      </c>
      <c r="AV65" s="270"/>
      <c r="AW65" s="270">
        <f>+'4.1. Samtryggingard.'!AW45+'4.1. Samtryggingard.'!AW49-'4.1. Samtryggingard.'!AW47</f>
        <v>321731</v>
      </c>
      <c r="AX65" s="270">
        <f>+'4.1. Samtryggingard.'!AX45+'4.1. Samtryggingard.'!AX49-'4.1. Samtryggingard.'!AX47</f>
        <v>1079990</v>
      </c>
    </row>
    <row r="66" spans="1:50" ht="12.75" customHeight="1">
      <c r="A66" s="174" t="s">
        <v>235</v>
      </c>
      <c r="B66" s="140"/>
      <c r="C66" s="270">
        <f>+'4.1. Samtryggingard.'!C62</f>
        <v>91184602</v>
      </c>
      <c r="D66" s="270">
        <f>+'4.1. Samtryggingard.'!D62</f>
        <v>185400903</v>
      </c>
      <c r="E66" s="270">
        <f>+'4.1. Samtryggingard.'!E62</f>
        <v>234770058</v>
      </c>
      <c r="F66" s="270">
        <f>+'4.1. Samtryggingard.'!F62</f>
        <v>213424953</v>
      </c>
      <c r="G66" s="270">
        <f>+'4.1. Samtryggingard.'!G62</f>
        <v>6783209</v>
      </c>
      <c r="H66" s="270">
        <f>+'4.1. Samtryggingard.'!H62</f>
        <v>78774371</v>
      </c>
      <c r="I66" s="270">
        <f>+'4.1. Samtryggingard.'!I62</f>
        <v>22803847</v>
      </c>
      <c r="J66" s="270">
        <f>+'4.1. Samtryggingard.'!J62</f>
        <v>5718896</v>
      </c>
      <c r="K66" s="270">
        <f>+'4.1. Samtryggingard.'!K62</f>
        <v>7710838</v>
      </c>
      <c r="L66" s="270">
        <f>+'4.1. Samtryggingard.'!L62</f>
        <v>81726873</v>
      </c>
      <c r="M66" s="270">
        <f>+'4.1. Samtryggingard.'!M62</f>
        <v>71525549</v>
      </c>
      <c r="N66" s="270">
        <f>+'4.1. Samtryggingard.'!N62</f>
        <v>11491638</v>
      </c>
      <c r="O66" s="270">
        <f>+'4.1. Samtryggingard.'!O62</f>
        <v>50594351</v>
      </c>
      <c r="P66" s="270">
        <f>+'4.1. Samtryggingard.'!P62</f>
        <v>48532662</v>
      </c>
      <c r="Q66" s="270">
        <f>+'4.1. Samtryggingard.'!Q62</f>
        <v>13179379</v>
      </c>
      <c r="R66" s="270">
        <f>+'4.1. Samtryggingard.'!R62</f>
        <v>24739081</v>
      </c>
      <c r="S66" s="270">
        <f>+'4.1. Samtryggingard.'!S62</f>
        <v>10080709</v>
      </c>
      <c r="T66" s="270">
        <f>+'4.1. Samtryggingard.'!T62</f>
        <v>25780336</v>
      </c>
      <c r="U66" s="270">
        <f>+'4.1. Samtryggingard.'!U62</f>
        <v>2369364</v>
      </c>
      <c r="V66" s="270">
        <f>+'4.1. Samtryggingard.'!V62</f>
        <v>20241933</v>
      </c>
      <c r="W66" s="270">
        <f>+'4.1. Samtryggingard.'!W62</f>
        <v>1900230</v>
      </c>
      <c r="X66" s="270">
        <f>+'4.1. Samtryggingard.'!X62</f>
        <v>25645214</v>
      </c>
      <c r="Y66" s="270">
        <f>+'4.1. Samtryggingard.'!Y62</f>
        <v>21443378</v>
      </c>
      <c r="Z66" s="270">
        <f>+'4.1. Samtryggingard.'!Z62</f>
        <v>22147805</v>
      </c>
      <c r="AA66" s="270">
        <f>+'4.1. Samtryggingard.'!AA62</f>
        <v>20905368</v>
      </c>
      <c r="AB66" s="270">
        <f>+'4.1. Samtryggingard.'!AB62</f>
        <v>14087989</v>
      </c>
      <c r="AC66" s="270">
        <f>+'4.1. Samtryggingard.'!AC62</f>
        <v>11865757</v>
      </c>
      <c r="AD66" s="270">
        <f>+'4.1. Samtryggingard.'!AD62</f>
        <v>9598064</v>
      </c>
      <c r="AE66" s="270">
        <f>+'4.1. Samtryggingard.'!AE62</f>
        <v>7064000</v>
      </c>
      <c r="AF66" s="270">
        <f>+'4.1. Samtryggingard.'!AF62</f>
        <v>2378237</v>
      </c>
      <c r="AG66" s="270">
        <f>+'4.1. Samtryggingard.'!AG62</f>
        <v>3882037</v>
      </c>
      <c r="AH66" s="270">
        <f>+'4.1. Samtryggingard.'!AH62</f>
        <v>322973</v>
      </c>
      <c r="AI66" s="270">
        <f>+'4.1. Samtryggingard.'!AI62</f>
        <v>2392117</v>
      </c>
      <c r="AJ66" s="270">
        <f>+'4.1. Samtryggingard.'!AJ62</f>
        <v>2186980</v>
      </c>
      <c r="AK66" s="270">
        <f>+'4.1. Samtryggingard.'!AK62</f>
        <v>800865</v>
      </c>
      <c r="AL66" s="270">
        <f>+'4.1. Samtryggingard.'!AL62</f>
        <v>1124824</v>
      </c>
      <c r="AM66" s="270">
        <f>+'4.1. Samtryggingard.'!AM62</f>
        <v>693279</v>
      </c>
      <c r="AN66" s="270">
        <f>+'4.1. Samtryggingard.'!AN62</f>
        <v>451430</v>
      </c>
      <c r="AO66" s="270">
        <f>+'4.1. Samtryggingard.'!AO62</f>
        <v>470205</v>
      </c>
      <c r="AP66" s="270">
        <f>+'4.1. Samtryggingard.'!AP62</f>
        <v>443865</v>
      </c>
      <c r="AQ66" s="270">
        <f>+'4.1. Samtryggingard.'!AQ62</f>
        <v>183340</v>
      </c>
      <c r="AR66" s="270">
        <f>+'4.1. Samtryggingard.'!AR62</f>
        <v>64524</v>
      </c>
      <c r="AS66" s="270">
        <f>+'4.1. Samtryggingard.'!AS62</f>
        <v>27472</v>
      </c>
      <c r="AT66" s="270"/>
      <c r="AU66" s="270">
        <f>+'4.1. Samtryggingard.'!AU62</f>
        <v>1356913505</v>
      </c>
      <c r="AV66" s="270"/>
      <c r="AW66" s="270">
        <f>+'4.1. Samtryggingard.'!AW62</f>
        <v>237845741</v>
      </c>
      <c r="AX66" s="270">
        <f>+'4.1. Samtryggingard.'!AX62</f>
        <v>1119067764</v>
      </c>
    </row>
    <row r="67" spans="1:50" ht="12.75" customHeight="1">
      <c r="A67" s="174" t="s">
        <v>234</v>
      </c>
      <c r="B67" s="140"/>
      <c r="C67" s="270">
        <f>+'4.1. Samtryggingard.'!C64</f>
        <v>107247847</v>
      </c>
      <c r="D67" s="270">
        <f>+'4.1. Samtryggingard.'!D64</f>
        <v>203013352</v>
      </c>
      <c r="E67" s="270">
        <f>+'4.1. Samtryggingard.'!E64</f>
        <v>262609402</v>
      </c>
      <c r="F67" s="270">
        <f>+'4.1. Samtryggingard.'!F64</f>
        <v>235991776</v>
      </c>
      <c r="G67" s="270">
        <f>+'4.1. Samtryggingard.'!G64</f>
        <v>10010864</v>
      </c>
      <c r="H67" s="270">
        <f>+'4.1. Samtryggingard.'!H64</f>
        <v>83339876</v>
      </c>
      <c r="I67" s="270">
        <f>+'4.1. Samtryggingard.'!I64</f>
        <v>26212956</v>
      </c>
      <c r="J67" s="270">
        <f>+'4.1. Samtryggingard.'!J64</f>
        <v>4204888</v>
      </c>
      <c r="K67" s="270">
        <f>+'4.1. Samtryggingard.'!K64</f>
        <v>9471136</v>
      </c>
      <c r="L67" s="270">
        <f>+'4.1. Samtryggingard.'!L64</f>
        <v>89383915</v>
      </c>
      <c r="M67" s="270">
        <f>+'4.1. Samtryggingard.'!M64</f>
        <v>78664225</v>
      </c>
      <c r="N67" s="270">
        <f>+'4.1. Samtryggingard.'!N64</f>
        <v>12640710</v>
      </c>
      <c r="O67" s="270">
        <f>+'4.1. Samtryggingard.'!O64</f>
        <v>55617100</v>
      </c>
      <c r="P67" s="270">
        <f>+'4.1. Samtryggingard.'!P64</f>
        <v>55164759</v>
      </c>
      <c r="Q67" s="270">
        <f>+'4.1. Samtryggingard.'!Q64</f>
        <v>40278978</v>
      </c>
      <c r="R67" s="270">
        <f>+'4.1. Samtryggingard.'!R64</f>
        <v>25968300</v>
      </c>
      <c r="S67" s="270">
        <f>+'4.1. Samtryggingard.'!S64</f>
        <v>12090305</v>
      </c>
      <c r="T67" s="270">
        <f>+'4.1. Samtryggingard.'!T64</f>
        <v>28633812</v>
      </c>
      <c r="U67" s="270">
        <f>+'4.1. Samtryggingard.'!U64</f>
        <v>2421865</v>
      </c>
      <c r="V67" s="270">
        <f>+'4.1. Samtryggingard.'!V64</f>
        <v>24908748</v>
      </c>
      <c r="W67" s="270">
        <f>+'4.1. Samtryggingard.'!W64</f>
        <v>2665329</v>
      </c>
      <c r="X67" s="270">
        <f>+'4.1. Samtryggingard.'!X64</f>
        <v>27258890</v>
      </c>
      <c r="Y67" s="270">
        <f>+'4.1. Samtryggingard.'!Y64</f>
        <v>23192729</v>
      </c>
      <c r="Z67" s="270">
        <f>+'4.1. Samtryggingard.'!Z64</f>
        <v>23132282</v>
      </c>
      <c r="AA67" s="270">
        <f>+'4.1. Samtryggingard.'!AA64</f>
        <v>21603252</v>
      </c>
      <c r="AB67" s="270">
        <f>+'4.1. Samtryggingard.'!AB64</f>
        <v>15607557</v>
      </c>
      <c r="AC67" s="270">
        <f>+'4.1. Samtryggingard.'!AC64</f>
        <v>12954380</v>
      </c>
      <c r="AD67" s="270">
        <f>+'4.1. Samtryggingard.'!AD64</f>
        <v>10123620</v>
      </c>
      <c r="AE67" s="270">
        <f>+'4.1. Samtryggingard.'!AE64</f>
        <v>7222999</v>
      </c>
      <c r="AF67" s="270">
        <f>+'4.1. Samtryggingard.'!AF64</f>
        <v>5921817</v>
      </c>
      <c r="AG67" s="270">
        <f>+'4.1. Samtryggingard.'!AG64</f>
        <v>4276550</v>
      </c>
      <c r="AH67" s="270">
        <f>+'4.1. Samtryggingard.'!AH64</f>
        <v>305938</v>
      </c>
      <c r="AI67" s="270">
        <f>+'4.1. Samtryggingard.'!AI64</f>
        <v>2505080</v>
      </c>
      <c r="AJ67" s="270">
        <f>+'4.1. Samtryggingard.'!AJ64</f>
        <v>2261717</v>
      </c>
      <c r="AK67" s="270">
        <f>+'4.1. Samtryggingard.'!AK64</f>
        <v>2235587</v>
      </c>
      <c r="AL67" s="270">
        <f>+'4.1. Samtryggingard.'!AL64</f>
        <v>1146206</v>
      </c>
      <c r="AM67" s="270">
        <f>+'4.1. Samtryggingard.'!AM64</f>
        <v>761710</v>
      </c>
      <c r="AN67" s="270">
        <f>+'4.1. Samtryggingard.'!AN64</f>
        <v>481478</v>
      </c>
      <c r="AO67" s="270">
        <f>+'4.1. Samtryggingard.'!AO64</f>
        <v>472544</v>
      </c>
      <c r="AP67" s="270">
        <f>+'4.1. Samtryggingard.'!AP64</f>
        <v>449568</v>
      </c>
      <c r="AQ67" s="270">
        <f>+'4.1. Samtryggingard.'!AQ64</f>
        <v>172493</v>
      </c>
      <c r="AR67" s="270">
        <f>+'4.1. Samtryggingard.'!AR64</f>
        <v>71180</v>
      </c>
      <c r="AS67" s="270">
        <f>+'4.1. Samtryggingard.'!AS64</f>
        <v>5688</v>
      </c>
      <c r="AT67" s="270"/>
      <c r="AU67" s="270">
        <f>+'4.1. Samtryggingard.'!AU64</f>
        <v>1532703408</v>
      </c>
      <c r="AV67" s="270"/>
      <c r="AW67" s="270">
        <f>+'4.1. Samtryggingard.'!AW64</f>
        <v>288898425</v>
      </c>
      <c r="AX67" s="270">
        <f>+'4.1. Samtryggingard.'!AX64</f>
        <v>1243804983</v>
      </c>
    </row>
    <row r="68" spans="1:50" ht="12.75" customHeight="1">
      <c r="A68" s="164"/>
      <c r="B68" s="140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1"/>
      <c r="AS68" s="241"/>
      <c r="AT68" s="241"/>
      <c r="AU68" s="241"/>
      <c r="AV68" s="241"/>
      <c r="AW68" s="248"/>
      <c r="AX68" s="248"/>
    </row>
    <row r="69" spans="1:50" ht="12.75" customHeight="1">
      <c r="A69" s="174" t="s">
        <v>209</v>
      </c>
      <c r="B69" s="140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41"/>
      <c r="AU69" s="222"/>
      <c r="AV69" s="241"/>
      <c r="AW69" s="248"/>
      <c r="AX69" s="248"/>
    </row>
    <row r="70" spans="1:50" ht="12.75" customHeight="1">
      <c r="A70" s="174" t="s">
        <v>210</v>
      </c>
      <c r="B70" s="140"/>
      <c r="C70" s="271">
        <f>+(C66+C67-(C64-C65))</f>
        <v>194056443</v>
      </c>
      <c r="D70" s="271">
        <f aca="true" t="shared" si="12" ref="D70:AS70">+(D66+D67-(D64-D65))</f>
        <v>378599294</v>
      </c>
      <c r="E70" s="271">
        <f t="shared" si="12"/>
        <v>480628522</v>
      </c>
      <c r="F70" s="271">
        <f t="shared" si="12"/>
        <v>431381415</v>
      </c>
      <c r="G70" s="271">
        <f t="shared" si="12"/>
        <v>16315621</v>
      </c>
      <c r="H70" s="271">
        <f t="shared" si="12"/>
        <v>157506997</v>
      </c>
      <c r="I70" s="271">
        <f t="shared" si="12"/>
        <v>48282571</v>
      </c>
      <c r="J70" s="271">
        <f t="shared" si="12"/>
        <v>9427066</v>
      </c>
      <c r="K70" s="271">
        <f t="shared" si="12"/>
        <v>16904675</v>
      </c>
      <c r="L70" s="271">
        <f>+(L66+L67-(L64-L65))</f>
        <v>166728835</v>
      </c>
      <c r="M70" s="271">
        <f t="shared" si="12"/>
        <v>145259161</v>
      </c>
      <c r="N70" s="271">
        <f t="shared" si="12"/>
        <v>23732149</v>
      </c>
      <c r="O70" s="271">
        <f t="shared" si="12"/>
        <v>103076428</v>
      </c>
      <c r="P70" s="271">
        <f t="shared" si="12"/>
        <v>99330405</v>
      </c>
      <c r="Q70" s="271">
        <f>+(Q66+Q67-(Q64-Q65))</f>
        <v>49763181</v>
      </c>
      <c r="R70" s="271">
        <f t="shared" si="12"/>
        <v>48843853</v>
      </c>
      <c r="S70" s="271">
        <f t="shared" si="12"/>
        <v>21475721</v>
      </c>
      <c r="T70" s="271">
        <f t="shared" si="12"/>
        <v>53064233</v>
      </c>
      <c r="U70" s="271">
        <f>+(U66+U67-(U64-U65))</f>
        <v>4585310</v>
      </c>
      <c r="V70" s="271">
        <f t="shared" si="12"/>
        <v>43645908</v>
      </c>
      <c r="W70" s="271">
        <f t="shared" si="12"/>
        <v>4413453</v>
      </c>
      <c r="X70" s="271">
        <f>+(X66+X67-(X64-X65))</f>
        <v>51502835</v>
      </c>
      <c r="Y70" s="271">
        <f>+(Y66+Y67-(Y64-Y65))</f>
        <v>43097132</v>
      </c>
      <c r="Z70" s="271">
        <f t="shared" si="12"/>
        <v>44326743</v>
      </c>
      <c r="AA70" s="271">
        <f t="shared" si="12"/>
        <v>41528066</v>
      </c>
      <c r="AB70" s="271">
        <f t="shared" si="12"/>
        <v>28619670</v>
      </c>
      <c r="AC70" s="271">
        <f t="shared" si="12"/>
        <v>23412335</v>
      </c>
      <c r="AD70" s="271">
        <f>+(AD66+AD67-(AD64-AD65))</f>
        <v>18863776</v>
      </c>
      <c r="AE70" s="271">
        <f t="shared" si="12"/>
        <v>13916965</v>
      </c>
      <c r="AF70" s="271">
        <f>+(AF66+AF67-(AF64-AF65))</f>
        <v>7900452</v>
      </c>
      <c r="AG70" s="271">
        <f t="shared" si="12"/>
        <v>7885724</v>
      </c>
      <c r="AH70" s="271">
        <f aca="true" t="shared" si="13" ref="AH70:AP70">+(AH66+AH67-(AH64-AH65))</f>
        <v>609360</v>
      </c>
      <c r="AI70" s="271">
        <f t="shared" si="13"/>
        <v>4768394</v>
      </c>
      <c r="AJ70" s="271">
        <f>+(AJ66+AJ67-(AJ64-AJ65))</f>
        <v>4352916</v>
      </c>
      <c r="AK70" s="271">
        <f>+(AK66+AK67-(AK64-AK65))</f>
        <v>2862742</v>
      </c>
      <c r="AL70" s="271">
        <f t="shared" si="13"/>
        <v>2190238</v>
      </c>
      <c r="AM70" s="271">
        <f t="shared" si="13"/>
        <v>1345754</v>
      </c>
      <c r="AN70" s="271">
        <f t="shared" si="13"/>
        <v>894785</v>
      </c>
      <c r="AO70" s="271">
        <f t="shared" si="13"/>
        <v>897572</v>
      </c>
      <c r="AP70" s="271">
        <f t="shared" si="13"/>
        <v>865392</v>
      </c>
      <c r="AQ70" s="271">
        <f t="shared" si="12"/>
        <v>337618</v>
      </c>
      <c r="AR70" s="271">
        <f t="shared" si="12"/>
        <v>132848</v>
      </c>
      <c r="AS70" s="271">
        <f t="shared" si="12"/>
        <v>32800</v>
      </c>
      <c r="AT70" s="271"/>
      <c r="AU70" s="271">
        <f>+(AU66+AU67-(AU64-AU65))</f>
        <v>2797365358</v>
      </c>
      <c r="AV70" s="271"/>
      <c r="AW70" s="271">
        <f>+(AW66+AW67-(AW64-AW65))</f>
        <v>510944368</v>
      </c>
      <c r="AX70" s="271">
        <f>+(AX66+AX67-(AX64-AX65))</f>
        <v>2286420990</v>
      </c>
    </row>
    <row r="71" spans="1:50" ht="12.75" customHeight="1">
      <c r="A71" s="174" t="s">
        <v>211</v>
      </c>
      <c r="B71" s="140"/>
      <c r="C71" s="272">
        <f>+(2*(C64-C65))/C70</f>
        <v>0.045100342275159605</v>
      </c>
      <c r="D71" s="272">
        <f aca="true" t="shared" si="14" ref="D71:AS71">+(2*(D64-D65))/D70</f>
        <v>0.051848807726514144</v>
      </c>
      <c r="E71" s="272">
        <f t="shared" si="14"/>
        <v>0.06970430273382736</v>
      </c>
      <c r="F71" s="272">
        <f t="shared" si="14"/>
        <v>0.08361655543273694</v>
      </c>
      <c r="G71" s="272">
        <f t="shared" si="14"/>
        <v>0.05864956044271928</v>
      </c>
      <c r="H71" s="272">
        <f t="shared" si="14"/>
        <v>0.05850216292295891</v>
      </c>
      <c r="I71" s="272">
        <f t="shared" si="14"/>
        <v>0.03041395620792439</v>
      </c>
      <c r="J71" s="272">
        <f t="shared" si="14"/>
        <v>0.10538125011535933</v>
      </c>
      <c r="K71" s="272">
        <f t="shared" si="14"/>
        <v>0.03280737429143122</v>
      </c>
      <c r="L71" s="272">
        <f>+(2*(L64-L65))/L70</f>
        <v>0.05256382916608276</v>
      </c>
      <c r="M71" s="272">
        <f t="shared" si="14"/>
        <v>0.06788711935352566</v>
      </c>
      <c r="N71" s="272">
        <f t="shared" si="14"/>
        <v>0.033726317831562574</v>
      </c>
      <c r="O71" s="272">
        <f t="shared" si="14"/>
        <v>0.0608290966388552</v>
      </c>
      <c r="P71" s="272">
        <f t="shared" si="14"/>
        <v>0.08792908878203004</v>
      </c>
      <c r="Q71" s="272">
        <f>+(2*(Q64-Q65))/Q70</f>
        <v>0.14851044188674353</v>
      </c>
      <c r="R71" s="272">
        <f t="shared" si="14"/>
        <v>0.076305528149059</v>
      </c>
      <c r="S71" s="272">
        <f t="shared" si="14"/>
        <v>0.06475153965727158</v>
      </c>
      <c r="T71" s="272">
        <f t="shared" si="14"/>
        <v>0.05087852678469884</v>
      </c>
      <c r="U71" s="272">
        <f>+(2*(U64-U65))/U70</f>
        <v>0.08981682808795916</v>
      </c>
      <c r="V71" s="272">
        <f t="shared" si="14"/>
        <v>0.0689536806062094</v>
      </c>
      <c r="W71" s="272">
        <f t="shared" si="14"/>
        <v>0.06892834250189138</v>
      </c>
      <c r="X71" s="272">
        <f>+(2*(X64-X65))/X70</f>
        <v>0.05441521811372131</v>
      </c>
      <c r="Y71" s="272">
        <f>+(2*(Y64-Y65))/Y70</f>
        <v>0.07141890555501466</v>
      </c>
      <c r="Z71" s="272">
        <f t="shared" si="14"/>
        <v>0.04301439426758695</v>
      </c>
      <c r="AA71" s="272">
        <f t="shared" si="14"/>
        <v>0.047223677596736624</v>
      </c>
      <c r="AB71" s="272">
        <f t="shared" si="14"/>
        <v>0.07518437494212896</v>
      </c>
      <c r="AC71" s="272">
        <f t="shared" si="14"/>
        <v>0.12026156297524361</v>
      </c>
      <c r="AD71" s="272">
        <f>+(2*(AD64-AD65))/AD70</f>
        <v>0.09095824717172214</v>
      </c>
      <c r="AE71" s="272">
        <f t="shared" si="14"/>
        <v>0.05317739895156739</v>
      </c>
      <c r="AF71" s="272">
        <f>+(2*(AF64-AF65))/AF70</f>
        <v>0.10115927544398726</v>
      </c>
      <c r="AG71" s="272">
        <f t="shared" si="14"/>
        <v>0.06920429880629857</v>
      </c>
      <c r="AH71" s="272">
        <f aca="true" t="shared" si="15" ref="AH71:AP71">+(2*(AH64-AH65))/AH70</f>
        <v>0.06416896415911777</v>
      </c>
      <c r="AI71" s="272">
        <f t="shared" si="15"/>
        <v>0.05402363982506479</v>
      </c>
      <c r="AJ71" s="272">
        <f>+(2*(AJ64-AJ65))/AJ70</f>
        <v>0.04400774101774534</v>
      </c>
      <c r="AK71" s="272">
        <f>+(2*(AK64-AK65))/AK70</f>
        <v>0.12135917242978934</v>
      </c>
      <c r="AL71" s="272">
        <f t="shared" si="15"/>
        <v>0.07377463088486275</v>
      </c>
      <c r="AM71" s="272">
        <f t="shared" si="15"/>
        <v>0.162340219683538</v>
      </c>
      <c r="AN71" s="272">
        <f t="shared" si="15"/>
        <v>0.08521153126169974</v>
      </c>
      <c r="AO71" s="272">
        <f t="shared" si="15"/>
        <v>0.10066490487671184</v>
      </c>
      <c r="AP71" s="272">
        <f t="shared" si="15"/>
        <v>0.06480531366132343</v>
      </c>
      <c r="AQ71" s="272">
        <f t="shared" si="14"/>
        <v>0.10790301464969285</v>
      </c>
      <c r="AR71" s="272">
        <f t="shared" si="14"/>
        <v>0.04299650728652294</v>
      </c>
      <c r="AS71" s="272">
        <f t="shared" si="14"/>
        <v>0.02195121951219512</v>
      </c>
      <c r="AT71" s="272"/>
      <c r="AU71" s="272">
        <f>+(2*(AU64-AU65))/AU70</f>
        <v>0.06595602875840004</v>
      </c>
      <c r="AV71" s="272"/>
      <c r="AW71" s="272">
        <f>+(2*(AW64-AW65))/AW70</f>
        <v>0.06184547277366212</v>
      </c>
      <c r="AX71" s="272">
        <f>+(2*(AX64-AX65))/AX70</f>
        <v>0.06687461087382687</v>
      </c>
    </row>
    <row r="72" spans="1:50" ht="12.75" customHeight="1">
      <c r="A72" s="223" t="s">
        <v>595</v>
      </c>
      <c r="B72" s="224"/>
      <c r="C72" s="273">
        <v>0.0586</v>
      </c>
      <c r="D72" s="273">
        <v>0.0586</v>
      </c>
      <c r="E72" s="273">
        <v>0.0586</v>
      </c>
      <c r="F72" s="273">
        <v>0.0586</v>
      </c>
      <c r="G72" s="273">
        <v>0.0586</v>
      </c>
      <c r="H72" s="273">
        <v>0.0586</v>
      </c>
      <c r="I72" s="273">
        <v>0.0586</v>
      </c>
      <c r="J72" s="273">
        <v>0.0586</v>
      </c>
      <c r="K72" s="273">
        <v>0.0586</v>
      </c>
      <c r="L72" s="273">
        <v>0.0586</v>
      </c>
      <c r="M72" s="273">
        <v>0.0586</v>
      </c>
      <c r="N72" s="273">
        <v>0.0586</v>
      </c>
      <c r="O72" s="273">
        <v>0.0586</v>
      </c>
      <c r="P72" s="273">
        <v>0.0586</v>
      </c>
      <c r="Q72" s="273">
        <v>0.0586</v>
      </c>
      <c r="R72" s="273">
        <v>0.0586</v>
      </c>
      <c r="S72" s="273">
        <v>0.0586</v>
      </c>
      <c r="T72" s="273">
        <v>0.0586</v>
      </c>
      <c r="U72" s="273">
        <v>0.0586</v>
      </c>
      <c r="V72" s="273">
        <v>0.0586</v>
      </c>
      <c r="W72" s="273">
        <v>0.0586</v>
      </c>
      <c r="X72" s="273">
        <v>0.0586</v>
      </c>
      <c r="Y72" s="273">
        <v>0.0586</v>
      </c>
      <c r="Z72" s="273">
        <v>0.0586</v>
      </c>
      <c r="AA72" s="273">
        <v>0.0586</v>
      </c>
      <c r="AB72" s="273">
        <v>0.0586</v>
      </c>
      <c r="AC72" s="273">
        <v>0.0586</v>
      </c>
      <c r="AD72" s="273">
        <v>0.0586</v>
      </c>
      <c r="AE72" s="273">
        <v>0.0586</v>
      </c>
      <c r="AF72" s="273">
        <v>0.0586</v>
      </c>
      <c r="AG72" s="273">
        <v>0.0586</v>
      </c>
      <c r="AH72" s="273">
        <v>0.0586</v>
      </c>
      <c r="AI72" s="273">
        <v>0.0586</v>
      </c>
      <c r="AJ72" s="273">
        <v>0.0586</v>
      </c>
      <c r="AK72" s="273">
        <v>0.0586</v>
      </c>
      <c r="AL72" s="273">
        <v>0.0586</v>
      </c>
      <c r="AM72" s="273">
        <v>0.0586</v>
      </c>
      <c r="AN72" s="273">
        <v>0.0586</v>
      </c>
      <c r="AO72" s="273">
        <v>0.0586</v>
      </c>
      <c r="AP72" s="273">
        <v>0.0586</v>
      </c>
      <c r="AQ72" s="273">
        <v>0.0586</v>
      </c>
      <c r="AR72" s="273">
        <v>0.0586</v>
      </c>
      <c r="AS72" s="273">
        <v>0.0586</v>
      </c>
      <c r="AT72" s="273"/>
      <c r="AU72" s="273">
        <v>0.0586</v>
      </c>
      <c r="AV72" s="273"/>
      <c r="AW72" s="273">
        <v>0.0586</v>
      </c>
      <c r="AX72" s="273">
        <v>0.0586</v>
      </c>
    </row>
    <row r="73" spans="1:50" ht="12.75" customHeight="1">
      <c r="A73" s="178"/>
      <c r="B73" s="274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</row>
    <row r="74" spans="1:50" s="52" customFormat="1" ht="12.75" customHeight="1">
      <c r="A74" s="275" t="s">
        <v>212</v>
      </c>
      <c r="B74" s="276"/>
      <c r="C74" s="277">
        <f>((1+C71)/(1+C72)-1)*100</f>
        <v>-1.2752368906896128</v>
      </c>
      <c r="D74" s="277">
        <f aca="true" t="shared" si="16" ref="D74:AS74">((1+D71)/(1+D72)-1)*100</f>
        <v>-0.6377472391352446</v>
      </c>
      <c r="E74" s="277">
        <f t="shared" si="16"/>
        <v>1.0489611499931328</v>
      </c>
      <c r="F74" s="277">
        <f t="shared" si="16"/>
        <v>2.3631735719570113</v>
      </c>
      <c r="G74" s="277">
        <f t="shared" si="16"/>
        <v>0.0046816968372720424</v>
      </c>
      <c r="H74" s="277">
        <f t="shared" si="16"/>
        <v>-0.009242119501329249</v>
      </c>
      <c r="I74" s="277">
        <f t="shared" si="16"/>
        <v>-2.6625773466914415</v>
      </c>
      <c r="J74" s="277">
        <f t="shared" si="16"/>
        <v>4.419162111785302</v>
      </c>
      <c r="K74" s="277">
        <f t="shared" si="16"/>
        <v>-2.436484574775055</v>
      </c>
      <c r="L74" s="277">
        <f>((1+L71)/(1+L72)-1)*100</f>
        <v>-0.5702031772073624</v>
      </c>
      <c r="M74" s="277">
        <f t="shared" si="16"/>
        <v>0.8773020360405948</v>
      </c>
      <c r="N74" s="277">
        <f t="shared" si="16"/>
        <v>-2.3496771366368296</v>
      </c>
      <c r="O74" s="277">
        <f t="shared" si="16"/>
        <v>0.2105702473885529</v>
      </c>
      <c r="P74" s="277">
        <f t="shared" si="16"/>
        <v>2.7705543908964847</v>
      </c>
      <c r="Q74" s="277">
        <f>((1+Q71)/(1+Q72)-1)*100</f>
        <v>8.493334771088556</v>
      </c>
      <c r="R74" s="277">
        <f t="shared" si="16"/>
        <v>1.6725418618041665</v>
      </c>
      <c r="S74" s="277">
        <f t="shared" si="16"/>
        <v>0.5811014223759292</v>
      </c>
      <c r="T74" s="277">
        <f t="shared" si="16"/>
        <v>-0.7294042334499373</v>
      </c>
      <c r="U74" s="277">
        <f>((1+U71)/(1+U72)-1)*100</f>
        <v>2.9488785271074347</v>
      </c>
      <c r="V74" s="277">
        <f t="shared" si="16"/>
        <v>0.9780540908945312</v>
      </c>
      <c r="W74" s="277">
        <f t="shared" si="16"/>
        <v>0.9756605424042553</v>
      </c>
      <c r="X74" s="277">
        <f>((1+X71)/(1+X72)-1)*100</f>
        <v>-0.395312855306873</v>
      </c>
      <c r="Y74" s="277">
        <f>((1+Y71)/(1+Y72)-1)*100</f>
        <v>1.2109300543184265</v>
      </c>
      <c r="Z74" s="277">
        <f t="shared" si="16"/>
        <v>-1.472284690384762</v>
      </c>
      <c r="AA74" s="277">
        <f t="shared" si="16"/>
        <v>-1.0746573212982446</v>
      </c>
      <c r="AB74" s="277">
        <f t="shared" si="16"/>
        <v>1.566632811461277</v>
      </c>
      <c r="AC74" s="277">
        <f t="shared" si="16"/>
        <v>5.824821743363273</v>
      </c>
      <c r="AD74" s="277">
        <f>((1+AD71)/(1+AD72)-1)*100</f>
        <v>3.056701981080878</v>
      </c>
      <c r="AE74" s="277">
        <f t="shared" si="16"/>
        <v>-0.5122426835851734</v>
      </c>
      <c r="AF74" s="277">
        <f>((1+AF71)/(1+AF72)-1)*100</f>
        <v>4.020335862836499</v>
      </c>
      <c r="AG74" s="277">
        <f t="shared" si="16"/>
        <v>1.0017285855184799</v>
      </c>
      <c r="AH74" s="277">
        <f aca="true" t="shared" si="17" ref="AH74:AP74">((1+AH71)/(1+AH72)-1)*100</f>
        <v>0.5260687851046608</v>
      </c>
      <c r="AI74" s="277">
        <f t="shared" si="17"/>
        <v>-0.43230305827839377</v>
      </c>
      <c r="AJ74" s="277">
        <f>((1+AJ71)/(1+AJ72)-1)*100</f>
        <v>-1.3784487986259863</v>
      </c>
      <c r="AK74" s="277">
        <f>((1+AK71)/(1+AK72)-1)*100</f>
        <v>5.9285067475712605</v>
      </c>
      <c r="AL74" s="277">
        <f t="shared" si="17"/>
        <v>1.4334622033688627</v>
      </c>
      <c r="AM74" s="277">
        <f t="shared" si="17"/>
        <v>9.799756251987347</v>
      </c>
      <c r="AN74" s="277">
        <f t="shared" si="17"/>
        <v>2.513841985801979</v>
      </c>
      <c r="AO74" s="277">
        <f t="shared" si="17"/>
        <v>3.9736354502845073</v>
      </c>
      <c r="AP74" s="277">
        <f t="shared" si="17"/>
        <v>0.5861811507012371</v>
      </c>
      <c r="AQ74" s="277">
        <f t="shared" si="16"/>
        <v>4.6573790524931935</v>
      </c>
      <c r="AR74" s="277">
        <f t="shared" si="16"/>
        <v>-1.4739743730849186</v>
      </c>
      <c r="AS74" s="277">
        <f t="shared" si="16"/>
        <v>-3.462004580370759</v>
      </c>
      <c r="AT74" s="277"/>
      <c r="AU74" s="284">
        <f>((1+AU71)/(1+AU72)-1)*100</f>
        <v>0.6948827468732377</v>
      </c>
      <c r="AV74" s="277"/>
      <c r="AW74" s="277">
        <f>((1+AW71)/(1+AW72)-1)*100</f>
        <v>0.3065815958494422</v>
      </c>
      <c r="AX74" s="277">
        <f>((1+AX71)/(1+AX72)-1)*100</f>
        <v>0.7816560432483355</v>
      </c>
    </row>
    <row r="75" spans="1:50" s="52" customFormat="1" ht="12.75" customHeight="1" thickBot="1">
      <c r="A75" s="278"/>
      <c r="B75" s="279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</row>
    <row r="76" spans="1:50" ht="12.75" customHeight="1">
      <c r="A76" s="194" t="s">
        <v>46</v>
      </c>
      <c r="B76" s="140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>
        <v>0.0414</v>
      </c>
      <c r="AV76" s="281"/>
      <c r="AW76" s="281">
        <v>0.0414</v>
      </c>
      <c r="AX76" s="281">
        <v>0.0414</v>
      </c>
    </row>
    <row r="77" spans="1:50" ht="12.75" customHeight="1">
      <c r="A77" s="282" t="s">
        <v>213</v>
      </c>
      <c r="B77" s="283"/>
      <c r="C77" s="186">
        <f>+'4.1. Samtryggingard.'!C20</f>
        <v>447143</v>
      </c>
      <c r="D77" s="186">
        <f>+'4.1. Samtryggingard.'!D20</f>
        <v>15436536</v>
      </c>
      <c r="E77" s="186">
        <f>+'4.1. Samtryggingard.'!E20</f>
        <v>3952984</v>
      </c>
      <c r="F77" s="186">
        <f>+'4.1. Samtryggingard.'!F20</f>
        <v>5386541</v>
      </c>
      <c r="G77" s="186">
        <f>+'4.1. Samtryggingard.'!G20</f>
        <v>23498</v>
      </c>
      <c r="H77" s="186">
        <f>+'4.1. Samtryggingard.'!H20</f>
        <v>2197304</v>
      </c>
      <c r="I77" s="186">
        <f>+'4.1. Samtryggingard.'!I20</f>
        <v>0</v>
      </c>
      <c r="J77" s="186">
        <f>+'4.1. Samtryggingard.'!J20</f>
        <v>540407</v>
      </c>
      <c r="K77" s="186">
        <f>+'4.1. Samtryggingard.'!K20</f>
        <v>136716</v>
      </c>
      <c r="L77" s="186">
        <f>+'4.1. Samtryggingard.'!L20</f>
        <v>1964847</v>
      </c>
      <c r="M77" s="186">
        <f>+'4.1. Samtryggingard.'!M20</f>
        <v>1586829</v>
      </c>
      <c r="N77" s="186">
        <f>+'4.1. Samtryggingard.'!N20</f>
        <v>130432</v>
      </c>
      <c r="O77" s="186">
        <f>+'4.1. Samtryggingard.'!O20</f>
        <v>637592</v>
      </c>
      <c r="P77" s="186">
        <f>+'4.1. Samtryggingard.'!P20</f>
        <v>1219051</v>
      </c>
      <c r="Q77" s="186">
        <f>+'4.1. Samtryggingard.'!Q20</f>
        <v>1933002</v>
      </c>
      <c r="R77" s="186">
        <f>+'4.1. Samtryggingard.'!R20</f>
        <v>979262</v>
      </c>
      <c r="S77" s="186">
        <f>+'4.1. Samtryggingard.'!S20</f>
        <v>42568</v>
      </c>
      <c r="T77" s="186">
        <f>+'4.1. Samtryggingard.'!T20</f>
        <v>265586</v>
      </c>
      <c r="U77" s="186">
        <f>+'4.1. Samtryggingard.'!U20</f>
        <v>9104</v>
      </c>
      <c r="V77" s="186">
        <f>+'4.1. Samtryggingard.'!V20</f>
        <v>264980</v>
      </c>
      <c r="W77" s="186">
        <f>+'4.1. Samtryggingard.'!W20</f>
        <v>8385</v>
      </c>
      <c r="X77" s="186">
        <f>+'4.1. Samtryggingard.'!X20</f>
        <v>572207</v>
      </c>
      <c r="Y77" s="186">
        <f>+'4.1. Samtryggingard.'!Y20</f>
        <v>525362</v>
      </c>
      <c r="Z77" s="186">
        <f>+'4.1. Samtryggingard.'!Z20</f>
        <v>1129139</v>
      </c>
      <c r="AA77" s="186">
        <f>+'4.1. Samtryggingard.'!AA20</f>
        <v>751897</v>
      </c>
      <c r="AB77" s="186">
        <f>+'4.1. Samtryggingard.'!AB20</f>
        <v>485486</v>
      </c>
      <c r="AC77" s="186">
        <f>+'4.1. Samtryggingard.'!AC20</f>
        <v>427579</v>
      </c>
      <c r="AD77" s="186">
        <f>+'4.1. Samtryggingard.'!AD20</f>
        <v>474846</v>
      </c>
      <c r="AE77" s="186">
        <f>+'4.1. Samtryggingard.'!AE20</f>
        <v>193233</v>
      </c>
      <c r="AF77" s="186">
        <f>+'4.1. Samtryggingard.'!AF20</f>
        <v>274934</v>
      </c>
      <c r="AG77" s="186">
        <f>+'4.1. Samtryggingard.'!AG20</f>
        <v>95429</v>
      </c>
      <c r="AH77" s="186">
        <f>+'4.1. Samtryggingard.'!AH20</f>
        <v>2689</v>
      </c>
      <c r="AI77" s="186">
        <f>+'4.1. Samtryggingard.'!AI20</f>
        <v>168123</v>
      </c>
      <c r="AJ77" s="186">
        <f>+'4.1. Samtryggingard.'!AJ20</f>
        <v>106070</v>
      </c>
      <c r="AK77" s="186">
        <f>+'4.1. Samtryggingard.'!AK20</f>
        <v>50785</v>
      </c>
      <c r="AL77" s="186">
        <f>+'4.1. Samtryggingard.'!AL20</f>
        <v>146617</v>
      </c>
      <c r="AM77" s="186">
        <f>+'4.1. Samtryggingard.'!AM20</f>
        <v>41143</v>
      </c>
      <c r="AN77" s="186">
        <f>+'4.1. Samtryggingard.'!AN20</f>
        <v>50421</v>
      </c>
      <c r="AO77" s="186">
        <f>+'4.1. Samtryggingard.'!AO20</f>
        <v>42837</v>
      </c>
      <c r="AP77" s="186">
        <f>+'4.1. Samtryggingard.'!AP20</f>
        <v>60277</v>
      </c>
      <c r="AQ77" s="186">
        <f>+'4.1. Samtryggingard.'!AQ20</f>
        <v>29062</v>
      </c>
      <c r="AR77" s="186">
        <f>+'4.1. Samtryggingard.'!AR20</f>
        <v>79211</v>
      </c>
      <c r="AS77" s="186">
        <f>+'4.1. Samtryggingard.'!AS20</f>
        <v>198151</v>
      </c>
      <c r="AT77" s="222"/>
      <c r="AU77" s="222"/>
      <c r="AV77" s="222"/>
      <c r="AW77" s="222"/>
      <c r="AX77" s="222"/>
    </row>
    <row r="78" spans="1:50" ht="12.75" customHeight="1">
      <c r="A78" s="282"/>
      <c r="B78" s="283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</row>
    <row r="79" spans="1:236" ht="12.75" customHeight="1">
      <c r="A79" s="174" t="s">
        <v>214</v>
      </c>
      <c r="B79" s="140"/>
      <c r="C79" s="284">
        <f aca="true" t="shared" si="18" ref="C79:AS79">+C$77*C25%</f>
        <v>101501.461</v>
      </c>
      <c r="D79" s="284">
        <f t="shared" si="18"/>
        <v>11670021.215999998</v>
      </c>
      <c r="E79" s="284">
        <f t="shared" si="18"/>
        <v>2529909.7600000002</v>
      </c>
      <c r="F79" s="284">
        <f t="shared" si="18"/>
        <v>3097261.0749999997</v>
      </c>
      <c r="G79" s="284">
        <f t="shared" si="18"/>
        <v>7542.858</v>
      </c>
      <c r="H79" s="284">
        <f t="shared" si="18"/>
        <v>1474390.984</v>
      </c>
      <c r="I79" s="284">
        <f t="shared" si="18"/>
        <v>0</v>
      </c>
      <c r="J79" s="284">
        <f t="shared" si="18"/>
        <v>540407</v>
      </c>
      <c r="K79" s="284">
        <f t="shared" si="18"/>
        <v>0</v>
      </c>
      <c r="L79" s="284">
        <f>+L$77*L25%</f>
        <v>1174978.506</v>
      </c>
      <c r="M79" s="284">
        <f t="shared" si="18"/>
        <v>1080630.5489999999</v>
      </c>
      <c r="N79" s="284">
        <f t="shared" si="18"/>
        <v>40042.623999999996</v>
      </c>
      <c r="O79" s="284">
        <f t="shared" si="18"/>
        <v>397219.816</v>
      </c>
      <c r="P79" s="284">
        <f t="shared" si="18"/>
        <v>696078.121</v>
      </c>
      <c r="Q79" s="284">
        <f>+Q$77*Q25%</f>
        <v>1366632.414</v>
      </c>
      <c r="R79" s="284">
        <f t="shared" si="18"/>
        <v>798098.5299999999</v>
      </c>
      <c r="S79" s="284">
        <f t="shared" si="18"/>
        <v>18687.352</v>
      </c>
      <c r="T79" s="284">
        <f t="shared" si="18"/>
        <v>207688.252</v>
      </c>
      <c r="U79" s="284">
        <f>+U$77*U25%</f>
        <v>227.60000000000002</v>
      </c>
      <c r="V79" s="284">
        <f t="shared" si="18"/>
        <v>132754.98</v>
      </c>
      <c r="W79" s="284">
        <f t="shared" si="18"/>
        <v>2104.635</v>
      </c>
      <c r="X79" s="284">
        <f aca="true" t="shared" si="19" ref="X79:Y83">+X$77*X25%</f>
        <v>303269.71</v>
      </c>
      <c r="Y79" s="284">
        <f t="shared" si="19"/>
        <v>255325.932</v>
      </c>
      <c r="Z79" s="284">
        <f t="shared" si="18"/>
        <v>981221.7910000001</v>
      </c>
      <c r="AA79" s="284">
        <f t="shared" si="18"/>
        <v>589487.248</v>
      </c>
      <c r="AB79" s="284">
        <f t="shared" si="18"/>
        <v>410721.15599999996</v>
      </c>
      <c r="AC79" s="284">
        <f t="shared" si="18"/>
        <v>345483.832</v>
      </c>
      <c r="AD79" s="284">
        <f>+AD$77*AD25%</f>
        <v>345213.042</v>
      </c>
      <c r="AE79" s="284">
        <f t="shared" si="18"/>
        <v>158837.526</v>
      </c>
      <c r="AF79" s="284">
        <f>+AF$77*AF25%</f>
        <v>207025.302</v>
      </c>
      <c r="AG79" s="284">
        <f t="shared" si="18"/>
        <v>65655.152</v>
      </c>
      <c r="AH79" s="284">
        <f aca="true" t="shared" si="20" ref="AH79:AP83">+AH$77*AH25%</f>
        <v>1763.9839999999997</v>
      </c>
      <c r="AI79" s="284">
        <f t="shared" si="20"/>
        <v>118190.469</v>
      </c>
      <c r="AJ79" s="284">
        <f aca="true" t="shared" si="21" ref="AJ79:AK82">+AJ$77*AJ25%</f>
        <v>81249.62</v>
      </c>
      <c r="AK79" s="284">
        <f t="shared" si="21"/>
        <v>37682.47</v>
      </c>
      <c r="AL79" s="284">
        <f t="shared" si="20"/>
        <v>105271.006</v>
      </c>
      <c r="AM79" s="284">
        <f t="shared" si="20"/>
        <v>34518.977000000006</v>
      </c>
      <c r="AN79" s="284">
        <f t="shared" si="20"/>
        <v>36807.33</v>
      </c>
      <c r="AO79" s="284">
        <f t="shared" si="20"/>
        <v>31699.38</v>
      </c>
      <c r="AP79" s="284">
        <f t="shared" si="20"/>
        <v>43459.717</v>
      </c>
      <c r="AQ79" s="284">
        <f t="shared" si="18"/>
        <v>25690.808</v>
      </c>
      <c r="AR79" s="284">
        <f t="shared" si="18"/>
        <v>44595.793</v>
      </c>
      <c r="AS79" s="284">
        <f t="shared" si="18"/>
        <v>141876.11599999998</v>
      </c>
      <c r="AT79" s="285"/>
      <c r="AU79" s="286">
        <f>SUM(C79:AS79)</f>
        <v>29701224.094000008</v>
      </c>
      <c r="AV79" s="286"/>
      <c r="AW79" s="209">
        <f>SUMIF($C$60:$AS$60,"já",C79:AS79)</f>
        <v>15018561.577999998</v>
      </c>
      <c r="AX79" s="209">
        <f>SUMIF($C$60:$AS$60,"Nei",C79:AS79)</f>
        <v>14682662.516</v>
      </c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</row>
    <row r="80" spans="1:51" ht="12.75" customHeight="1">
      <c r="A80" s="174" t="s">
        <v>215</v>
      </c>
      <c r="B80" s="140"/>
      <c r="C80" s="284">
        <f aca="true" t="shared" si="22" ref="C80:H83">+C$77*C26%</f>
        <v>289301.521</v>
      </c>
      <c r="D80" s="284">
        <f t="shared" si="22"/>
        <v>632897.9759999999</v>
      </c>
      <c r="E80" s="284">
        <f t="shared" si="22"/>
        <v>948716.1599999999</v>
      </c>
      <c r="F80" s="284">
        <f t="shared" si="22"/>
        <v>1788331.6120000002</v>
      </c>
      <c r="G80" s="284">
        <f t="shared" si="22"/>
        <v>10127.637999999999</v>
      </c>
      <c r="H80" s="284">
        <f t="shared" si="22"/>
        <v>397712.02400000003</v>
      </c>
      <c r="I80" s="284">
        <f>+I$77*I247%</f>
        <v>0</v>
      </c>
      <c r="J80" s="284">
        <f aca="true" t="shared" si="23" ref="J80:AS80">+J$77*J26%</f>
        <v>0</v>
      </c>
      <c r="K80" s="284">
        <f t="shared" si="23"/>
        <v>65076.816000000006</v>
      </c>
      <c r="L80" s="284">
        <f>+L$77*L26%</f>
        <v>581594.712</v>
      </c>
      <c r="M80" s="284">
        <f t="shared" si="23"/>
        <v>263413.614</v>
      </c>
      <c r="N80" s="284">
        <f t="shared" si="23"/>
        <v>67433.344</v>
      </c>
      <c r="O80" s="284">
        <f t="shared" si="23"/>
        <v>182988.90399999998</v>
      </c>
      <c r="P80" s="284">
        <f t="shared" si="23"/>
        <v>413258.289</v>
      </c>
      <c r="Q80" s="284">
        <f>+Q$77*Q26%</f>
        <v>436858.452</v>
      </c>
      <c r="R80" s="284">
        <f t="shared" si="23"/>
        <v>57776.458000000006</v>
      </c>
      <c r="S80" s="284">
        <f t="shared" si="23"/>
        <v>19453.576</v>
      </c>
      <c r="T80" s="284">
        <f t="shared" si="23"/>
        <v>19387.778</v>
      </c>
      <c r="U80" s="284">
        <f>+U$77*U26%</f>
        <v>7465.28</v>
      </c>
      <c r="V80" s="284">
        <f t="shared" si="23"/>
        <v>103342.2</v>
      </c>
      <c r="W80" s="284">
        <f t="shared" si="23"/>
        <v>5215.47</v>
      </c>
      <c r="X80" s="284">
        <f t="shared" si="19"/>
        <v>190544.93099999998</v>
      </c>
      <c r="Y80" s="284">
        <f t="shared" si="19"/>
        <v>203840.45599999998</v>
      </c>
      <c r="Z80" s="284">
        <f t="shared" si="23"/>
        <v>0</v>
      </c>
      <c r="AA80" s="284">
        <f t="shared" si="23"/>
        <v>91731.434</v>
      </c>
      <c r="AB80" s="284">
        <f t="shared" si="23"/>
        <v>30100.132</v>
      </c>
      <c r="AC80" s="284">
        <f t="shared" si="23"/>
        <v>19668.634</v>
      </c>
      <c r="AD80" s="284">
        <f>+AD$77*AD26%</f>
        <v>28490.76</v>
      </c>
      <c r="AE80" s="284">
        <f t="shared" si="23"/>
        <v>386.466</v>
      </c>
      <c r="AF80" s="284">
        <f>+AF$77*AF26%</f>
        <v>16221.106000000002</v>
      </c>
      <c r="AG80" s="284">
        <f t="shared" si="23"/>
        <v>21948.670000000002</v>
      </c>
      <c r="AH80" s="284">
        <f t="shared" si="20"/>
        <v>693.7620000000001</v>
      </c>
      <c r="AI80" s="284">
        <f t="shared" si="20"/>
        <v>16980.423</v>
      </c>
      <c r="AJ80" s="284">
        <f t="shared" si="21"/>
        <v>20153.3</v>
      </c>
      <c r="AK80" s="284">
        <f t="shared" si="21"/>
        <v>2894.745</v>
      </c>
      <c r="AL80" s="284">
        <f t="shared" si="20"/>
        <v>16127.87</v>
      </c>
      <c r="AM80" s="284">
        <f t="shared" si="20"/>
        <v>4320.014999999999</v>
      </c>
      <c r="AN80" s="284">
        <f t="shared" si="20"/>
        <v>4588.311</v>
      </c>
      <c r="AO80" s="284">
        <f t="shared" si="20"/>
        <v>428.37</v>
      </c>
      <c r="AP80" s="284">
        <f t="shared" si="20"/>
        <v>2531.634</v>
      </c>
      <c r="AQ80" s="284">
        <f t="shared" si="23"/>
        <v>0</v>
      </c>
      <c r="AR80" s="284">
        <f t="shared" si="23"/>
        <v>10059.797</v>
      </c>
      <c r="AS80" s="284">
        <f t="shared" si="23"/>
        <v>5350.077</v>
      </c>
      <c r="AT80" s="241"/>
      <c r="AU80" s="286">
        <f>SUM(C80:AS80)</f>
        <v>6977412.716999999</v>
      </c>
      <c r="AV80" s="164"/>
      <c r="AW80" s="209">
        <f>SUMIF($C$60:$AS$60,"já",C80:AS80)</f>
        <v>1165050.1570000001</v>
      </c>
      <c r="AX80" s="209">
        <f>SUMIF($C$60:$AS$60,"Nei",C80:AS80)</f>
        <v>5812362.56</v>
      </c>
      <c r="AY80" s="53"/>
    </row>
    <row r="81" spans="1:51" ht="12.75" customHeight="1">
      <c r="A81" s="174" t="s">
        <v>216</v>
      </c>
      <c r="B81" s="140"/>
      <c r="C81" s="284">
        <f t="shared" si="22"/>
        <v>17438.577</v>
      </c>
      <c r="D81" s="284">
        <f t="shared" si="22"/>
        <v>3118180.272</v>
      </c>
      <c r="E81" s="284">
        <f t="shared" si="22"/>
        <v>383439.448</v>
      </c>
      <c r="F81" s="284">
        <f t="shared" si="22"/>
        <v>420150.198</v>
      </c>
      <c r="G81" s="284">
        <f t="shared" si="22"/>
        <v>2208.812</v>
      </c>
      <c r="H81" s="284">
        <f t="shared" si="22"/>
        <v>294438.73600000003</v>
      </c>
      <c r="I81" s="284">
        <f>+I$77*I27%</f>
        <v>0</v>
      </c>
      <c r="J81" s="284">
        <f aca="true" t="shared" si="24" ref="J81:AS81">+J$77*J27%</f>
        <v>0</v>
      </c>
      <c r="K81" s="284">
        <f t="shared" si="24"/>
        <v>64666.668</v>
      </c>
      <c r="L81" s="284">
        <f>+L$77*L27%</f>
        <v>168976.84199999998</v>
      </c>
      <c r="M81" s="284">
        <f t="shared" si="24"/>
        <v>225329.718</v>
      </c>
      <c r="N81" s="284">
        <f t="shared" si="24"/>
        <v>16043.136000000002</v>
      </c>
      <c r="O81" s="284">
        <f t="shared" si="24"/>
        <v>46544.216</v>
      </c>
      <c r="P81" s="284">
        <f t="shared" si="24"/>
        <v>85333.57</v>
      </c>
      <c r="Q81" s="284">
        <f>+Q$77*Q27%</f>
        <v>127578.13200000001</v>
      </c>
      <c r="R81" s="284">
        <f t="shared" si="24"/>
        <v>121428.488</v>
      </c>
      <c r="S81" s="284">
        <f t="shared" si="24"/>
        <v>3873.688</v>
      </c>
      <c r="T81" s="284">
        <f t="shared" si="24"/>
        <v>33198.25</v>
      </c>
      <c r="U81" s="284">
        <f>+U$77*U27%</f>
        <v>1402.016</v>
      </c>
      <c r="V81" s="284">
        <f t="shared" si="24"/>
        <v>11394.14</v>
      </c>
      <c r="W81" s="284">
        <f t="shared" si="24"/>
        <v>125.77499999999999</v>
      </c>
      <c r="X81" s="284">
        <f t="shared" si="19"/>
        <v>63514.977</v>
      </c>
      <c r="Y81" s="284">
        <f t="shared" si="19"/>
        <v>55163.009999999995</v>
      </c>
      <c r="Z81" s="284">
        <f t="shared" si="24"/>
        <v>114043.03899999999</v>
      </c>
      <c r="AA81" s="284">
        <f t="shared" si="24"/>
        <v>63159.348000000005</v>
      </c>
      <c r="AB81" s="284">
        <f t="shared" si="24"/>
        <v>41751.795999999995</v>
      </c>
      <c r="AC81" s="284">
        <f t="shared" si="24"/>
        <v>61143.797000000006</v>
      </c>
      <c r="AD81" s="284">
        <f>+AD$77*AD27%</f>
        <v>100667.352</v>
      </c>
      <c r="AE81" s="284">
        <f t="shared" si="24"/>
        <v>34009.008</v>
      </c>
      <c r="AF81" s="284">
        <f>+AF$77*AF27%</f>
        <v>51137.72400000001</v>
      </c>
      <c r="AG81" s="284">
        <f t="shared" si="24"/>
        <v>5916.598</v>
      </c>
      <c r="AH81" s="284">
        <f t="shared" si="20"/>
        <v>231.254</v>
      </c>
      <c r="AI81" s="284">
        <f t="shared" si="20"/>
        <v>32952.108</v>
      </c>
      <c r="AJ81" s="284">
        <f t="shared" si="21"/>
        <v>4454.9400000000005</v>
      </c>
      <c r="AK81" s="284">
        <f t="shared" si="21"/>
        <v>10157</v>
      </c>
      <c r="AL81" s="284">
        <f t="shared" si="20"/>
        <v>24924.890000000003</v>
      </c>
      <c r="AM81" s="284">
        <f t="shared" si="20"/>
        <v>2304.008</v>
      </c>
      <c r="AN81" s="284">
        <f t="shared" si="20"/>
        <v>8672.411999999998</v>
      </c>
      <c r="AO81" s="284">
        <f t="shared" si="20"/>
        <v>10709.25</v>
      </c>
      <c r="AP81" s="284">
        <f t="shared" si="20"/>
        <v>14285.649</v>
      </c>
      <c r="AQ81" s="284">
        <f t="shared" si="24"/>
        <v>3371.1919999999996</v>
      </c>
      <c r="AR81" s="284">
        <f t="shared" si="24"/>
        <v>24000.933</v>
      </c>
      <c r="AS81" s="284">
        <f t="shared" si="24"/>
        <v>50528.505</v>
      </c>
      <c r="AT81" s="248"/>
      <c r="AU81" s="286">
        <f>SUM(C81:AS81)</f>
        <v>5918849.472000001</v>
      </c>
      <c r="AV81" s="248"/>
      <c r="AW81" s="209">
        <f>SUMIF($C$60:$AS$60,"já",C81:AS81)</f>
        <v>3618295.804</v>
      </c>
      <c r="AX81" s="209">
        <f>SUMIF($C$60:$AS$60,"Nei",C81:AS81)</f>
        <v>2300553.668</v>
      </c>
      <c r="AY81" s="53"/>
    </row>
    <row r="82" spans="1:51" ht="12.75" customHeight="1">
      <c r="A82" s="174" t="s">
        <v>217</v>
      </c>
      <c r="B82" s="140"/>
      <c r="C82" s="284">
        <f t="shared" si="22"/>
        <v>38901.441</v>
      </c>
      <c r="D82" s="284">
        <f t="shared" si="22"/>
        <v>15436.536</v>
      </c>
      <c r="E82" s="284">
        <f t="shared" si="22"/>
        <v>90918.632</v>
      </c>
      <c r="F82" s="284">
        <f t="shared" si="22"/>
        <v>80798.11499999999</v>
      </c>
      <c r="G82" s="284">
        <f t="shared" si="22"/>
        <v>1597.864</v>
      </c>
      <c r="H82" s="284">
        <f t="shared" si="22"/>
        <v>28564.952</v>
      </c>
      <c r="I82" s="284">
        <f>+I$77*I28%</f>
        <v>0</v>
      </c>
      <c r="J82" s="284">
        <f aca="true" t="shared" si="25" ref="J82:AS82">+J$77*J28%</f>
        <v>0</v>
      </c>
      <c r="K82" s="284">
        <f t="shared" si="25"/>
        <v>6972.516</v>
      </c>
      <c r="L82" s="284">
        <f>+L$77*L28%</f>
        <v>39296.94</v>
      </c>
      <c r="M82" s="284">
        <f t="shared" si="25"/>
        <v>17455.119000000002</v>
      </c>
      <c r="N82" s="284">
        <f t="shared" si="25"/>
        <v>6912.896</v>
      </c>
      <c r="O82" s="284">
        <f t="shared" si="25"/>
        <v>10839.064</v>
      </c>
      <c r="P82" s="284">
        <f t="shared" si="25"/>
        <v>24381.02</v>
      </c>
      <c r="Q82" s="284">
        <f>+Q$77*Q28%</f>
        <v>3866.004</v>
      </c>
      <c r="R82" s="284">
        <f t="shared" si="25"/>
        <v>1958.5240000000001</v>
      </c>
      <c r="S82" s="284">
        <f t="shared" si="25"/>
        <v>553.384</v>
      </c>
      <c r="T82" s="284">
        <f t="shared" si="25"/>
        <v>5311.72</v>
      </c>
      <c r="U82" s="284">
        <f>+U$77*U28%</f>
        <v>0</v>
      </c>
      <c r="V82" s="284">
        <f t="shared" si="25"/>
        <v>17488.68</v>
      </c>
      <c r="W82" s="284">
        <f t="shared" si="25"/>
        <v>939.1199999999999</v>
      </c>
      <c r="X82" s="284">
        <f t="shared" si="19"/>
        <v>14877.382000000001</v>
      </c>
      <c r="Y82" s="284">
        <f t="shared" si="19"/>
        <v>11032.602</v>
      </c>
      <c r="Z82" s="284">
        <f t="shared" si="25"/>
        <v>31615.891999999996</v>
      </c>
      <c r="AA82" s="284">
        <f t="shared" si="25"/>
        <v>7518.97</v>
      </c>
      <c r="AB82" s="284">
        <f t="shared" si="25"/>
        <v>2912.916</v>
      </c>
      <c r="AC82" s="284">
        <f t="shared" si="25"/>
        <v>1282.737</v>
      </c>
      <c r="AD82" s="284">
        <f>+AD$77*AD28%</f>
        <v>474.846</v>
      </c>
      <c r="AE82" s="284">
        <f t="shared" si="25"/>
        <v>0</v>
      </c>
      <c r="AF82" s="284">
        <f>+AF$77*AF28%</f>
        <v>549.868</v>
      </c>
      <c r="AG82" s="284">
        <f t="shared" si="25"/>
        <v>1908.58</v>
      </c>
      <c r="AH82" s="284">
        <f t="shared" si="20"/>
        <v>0</v>
      </c>
      <c r="AI82" s="284">
        <f t="shared" si="20"/>
        <v>0</v>
      </c>
      <c r="AJ82" s="284">
        <f t="shared" si="21"/>
        <v>212.14000000000001</v>
      </c>
      <c r="AK82" s="284">
        <f t="shared" si="21"/>
        <v>50.785000000000004</v>
      </c>
      <c r="AL82" s="284">
        <f t="shared" si="20"/>
        <v>293.234</v>
      </c>
      <c r="AM82" s="284">
        <f t="shared" si="20"/>
        <v>0</v>
      </c>
      <c r="AN82" s="284">
        <f t="shared" si="20"/>
        <v>352.94699999999995</v>
      </c>
      <c r="AO82" s="284">
        <f t="shared" si="20"/>
        <v>0</v>
      </c>
      <c r="AP82" s="284">
        <f t="shared" si="20"/>
        <v>0</v>
      </c>
      <c r="AQ82" s="284">
        <f t="shared" si="25"/>
        <v>0</v>
      </c>
      <c r="AR82" s="284">
        <f t="shared" si="25"/>
        <v>554.477</v>
      </c>
      <c r="AS82" s="284">
        <f t="shared" si="25"/>
        <v>396.302</v>
      </c>
      <c r="AT82" s="248"/>
      <c r="AU82" s="286">
        <f>SUM(C82:AS82)</f>
        <v>466226.2050000001</v>
      </c>
      <c r="AV82" s="248"/>
      <c r="AW82" s="209">
        <f>SUMIF($C$60:$AS$60,"já",C82:AS82)</f>
        <v>53328.185000000005</v>
      </c>
      <c r="AX82" s="209">
        <f>SUMIF($C$60:$AS$60,"Nei",C82:AS82)</f>
        <v>412898.02</v>
      </c>
      <c r="AY82" s="53"/>
    </row>
    <row r="83" spans="1:51" ht="12.75" customHeight="1">
      <c r="A83" s="174" t="s">
        <v>218</v>
      </c>
      <c r="B83" s="140"/>
      <c r="C83" s="287">
        <f t="shared" si="22"/>
        <v>0</v>
      </c>
      <c r="D83" s="287">
        <f t="shared" si="22"/>
        <v>0</v>
      </c>
      <c r="E83" s="287">
        <f t="shared" si="22"/>
        <v>0</v>
      </c>
      <c r="F83" s="287">
        <f t="shared" si="22"/>
        <v>0</v>
      </c>
      <c r="G83" s="287">
        <f t="shared" si="22"/>
        <v>2020.8279999999997</v>
      </c>
      <c r="H83" s="287">
        <f t="shared" si="22"/>
        <v>2197.304</v>
      </c>
      <c r="I83" s="287">
        <f>+I$77*I29%</f>
        <v>0</v>
      </c>
      <c r="J83" s="287">
        <f aca="true" t="shared" si="26" ref="J83:AS83">+J$77*J29%</f>
        <v>0</v>
      </c>
      <c r="K83" s="287">
        <f t="shared" si="26"/>
        <v>0</v>
      </c>
      <c r="L83" s="287">
        <f>+L$77*L29%</f>
        <v>0</v>
      </c>
      <c r="M83" s="287">
        <f t="shared" si="26"/>
        <v>0</v>
      </c>
      <c r="N83" s="287">
        <f t="shared" si="26"/>
        <v>0</v>
      </c>
      <c r="O83" s="287">
        <f t="shared" si="26"/>
        <v>0</v>
      </c>
      <c r="P83" s="287">
        <f t="shared" si="26"/>
        <v>0</v>
      </c>
      <c r="Q83" s="287">
        <f>+Q$77*Q29%</f>
        <v>0</v>
      </c>
      <c r="R83" s="287">
        <f t="shared" si="26"/>
        <v>0</v>
      </c>
      <c r="S83" s="287">
        <f t="shared" si="26"/>
        <v>0</v>
      </c>
      <c r="T83" s="287">
        <f t="shared" si="26"/>
        <v>0</v>
      </c>
      <c r="U83" s="287">
        <f>+U$77*U29%</f>
        <v>18.208000000000002</v>
      </c>
      <c r="V83" s="287">
        <f t="shared" si="26"/>
        <v>0</v>
      </c>
      <c r="W83" s="287">
        <f t="shared" si="26"/>
        <v>0</v>
      </c>
      <c r="X83" s="287">
        <f t="shared" si="19"/>
        <v>0</v>
      </c>
      <c r="Y83" s="287">
        <f t="shared" si="19"/>
        <v>0</v>
      </c>
      <c r="Z83" s="287">
        <f t="shared" si="26"/>
        <v>2258.2780000000002</v>
      </c>
      <c r="AA83" s="287">
        <f t="shared" si="26"/>
        <v>0</v>
      </c>
      <c r="AB83" s="287">
        <f t="shared" si="26"/>
        <v>0</v>
      </c>
      <c r="AC83" s="287">
        <f t="shared" si="26"/>
        <v>0</v>
      </c>
      <c r="AD83" s="287">
        <f>+AD$77*AD29%</f>
        <v>0</v>
      </c>
      <c r="AE83" s="287">
        <f t="shared" si="26"/>
        <v>0</v>
      </c>
      <c r="AF83" s="287">
        <f>+AF$77*AF29%</f>
        <v>0</v>
      </c>
      <c r="AG83" s="287">
        <f t="shared" si="26"/>
        <v>0</v>
      </c>
      <c r="AH83" s="287">
        <f t="shared" si="20"/>
        <v>0</v>
      </c>
      <c r="AI83" s="287">
        <f t="shared" si="20"/>
        <v>0</v>
      </c>
      <c r="AJ83" s="287">
        <f>+AJ$77*AJ29%</f>
        <v>0</v>
      </c>
      <c r="AK83" s="287">
        <f t="shared" si="20"/>
        <v>0</v>
      </c>
      <c r="AL83" s="287">
        <f t="shared" si="20"/>
        <v>0</v>
      </c>
      <c r="AM83" s="287">
        <f t="shared" si="20"/>
        <v>0</v>
      </c>
      <c r="AN83" s="287">
        <f t="shared" si="20"/>
        <v>0</v>
      </c>
      <c r="AO83" s="287">
        <f t="shared" si="20"/>
        <v>0</v>
      </c>
      <c r="AP83" s="287">
        <f t="shared" si="20"/>
        <v>0</v>
      </c>
      <c r="AQ83" s="287">
        <f t="shared" si="26"/>
        <v>0</v>
      </c>
      <c r="AR83" s="287">
        <f t="shared" si="26"/>
        <v>0</v>
      </c>
      <c r="AS83" s="287">
        <f t="shared" si="26"/>
        <v>0</v>
      </c>
      <c r="AT83" s="248"/>
      <c r="AU83" s="288">
        <f>SUM(C83:AS83)</f>
        <v>6494.6179999999995</v>
      </c>
      <c r="AV83" s="248"/>
      <c r="AW83" s="289">
        <f>SUMIF($C$60:$AS$60,"já",C83:AS83)</f>
        <v>2258.2780000000002</v>
      </c>
      <c r="AX83" s="289">
        <f>SUMIF($C$60:$AS$60,"Nei",C83:AS83)</f>
        <v>4236.339999999999</v>
      </c>
      <c r="AY83" s="53"/>
    </row>
    <row r="84" spans="1:66" ht="12.75" customHeight="1">
      <c r="A84" s="282" t="s">
        <v>219</v>
      </c>
      <c r="B84" s="283"/>
      <c r="C84" s="248">
        <f aca="true" t="shared" si="27" ref="C84:AS84">SUM(C79:C83)</f>
        <v>447143</v>
      </c>
      <c r="D84" s="248">
        <f t="shared" si="27"/>
        <v>15436535.999999998</v>
      </c>
      <c r="E84" s="248">
        <f t="shared" si="27"/>
        <v>3952984</v>
      </c>
      <c r="F84" s="248">
        <f t="shared" si="27"/>
        <v>5386541</v>
      </c>
      <c r="G84" s="248">
        <f t="shared" si="27"/>
        <v>23498</v>
      </c>
      <c r="H84" s="248">
        <f t="shared" si="27"/>
        <v>2197304</v>
      </c>
      <c r="I84" s="248">
        <f t="shared" si="27"/>
        <v>0</v>
      </c>
      <c r="J84" s="248">
        <f t="shared" si="27"/>
        <v>540407</v>
      </c>
      <c r="K84" s="248">
        <f t="shared" si="27"/>
        <v>136716</v>
      </c>
      <c r="L84" s="248">
        <f>SUM(L79:L83)</f>
        <v>1964847</v>
      </c>
      <c r="M84" s="248">
        <f t="shared" si="27"/>
        <v>1586829</v>
      </c>
      <c r="N84" s="248">
        <f t="shared" si="27"/>
        <v>130431.99999999999</v>
      </c>
      <c r="O84" s="248">
        <f t="shared" si="27"/>
        <v>637592</v>
      </c>
      <c r="P84" s="248">
        <f t="shared" si="27"/>
        <v>1219051.0000000002</v>
      </c>
      <c r="Q84" s="248">
        <f>SUM(Q79:Q83)</f>
        <v>1934935.002</v>
      </c>
      <c r="R84" s="248">
        <f t="shared" si="27"/>
        <v>979261.9999999999</v>
      </c>
      <c r="S84" s="248">
        <f t="shared" si="27"/>
        <v>42568</v>
      </c>
      <c r="T84" s="248">
        <f t="shared" si="27"/>
        <v>265586</v>
      </c>
      <c r="U84" s="248">
        <f>SUM(U79:U83)</f>
        <v>9113.104000000001</v>
      </c>
      <c r="V84" s="248">
        <f t="shared" si="27"/>
        <v>264980</v>
      </c>
      <c r="W84" s="248">
        <f t="shared" si="27"/>
        <v>8385</v>
      </c>
      <c r="X84" s="248">
        <f>SUM(X79:X83)</f>
        <v>572207</v>
      </c>
      <c r="Y84" s="248">
        <f>SUM(Y79:Y83)</f>
        <v>525362</v>
      </c>
      <c r="Z84" s="248">
        <f t="shared" si="27"/>
        <v>1129139</v>
      </c>
      <c r="AA84" s="248">
        <f t="shared" si="27"/>
        <v>751897</v>
      </c>
      <c r="AB84" s="248">
        <f t="shared" si="27"/>
        <v>485485.99999999994</v>
      </c>
      <c r="AC84" s="248">
        <f t="shared" si="27"/>
        <v>427579.00000000006</v>
      </c>
      <c r="AD84" s="248">
        <f>SUM(AD79:AD83)</f>
        <v>474846.00000000006</v>
      </c>
      <c r="AE84" s="248">
        <f t="shared" si="27"/>
        <v>193233</v>
      </c>
      <c r="AF84" s="248">
        <f>SUM(AF79:AF83)</f>
        <v>274934</v>
      </c>
      <c r="AG84" s="248">
        <f t="shared" si="27"/>
        <v>95429</v>
      </c>
      <c r="AH84" s="248">
        <f aca="true" t="shared" si="28" ref="AH84:AP84">SUM(AH79:AH83)</f>
        <v>2688.9999999999995</v>
      </c>
      <c r="AI84" s="248">
        <f t="shared" si="28"/>
        <v>168123</v>
      </c>
      <c r="AJ84" s="248">
        <f>SUM(AJ79:AJ83)</f>
        <v>106070</v>
      </c>
      <c r="AK84" s="248">
        <f>SUM(AK79:AK83)</f>
        <v>50785.00000000001</v>
      </c>
      <c r="AL84" s="248">
        <f t="shared" si="28"/>
        <v>146617</v>
      </c>
      <c r="AM84" s="248">
        <f t="shared" si="28"/>
        <v>41143.00000000001</v>
      </c>
      <c r="AN84" s="248">
        <f t="shared" si="28"/>
        <v>50421</v>
      </c>
      <c r="AO84" s="248">
        <f t="shared" si="28"/>
        <v>42837</v>
      </c>
      <c r="AP84" s="248">
        <f t="shared" si="28"/>
        <v>60276.99999999999</v>
      </c>
      <c r="AQ84" s="248">
        <f t="shared" si="27"/>
        <v>29062</v>
      </c>
      <c r="AR84" s="248">
        <f t="shared" si="27"/>
        <v>79211</v>
      </c>
      <c r="AS84" s="248">
        <f t="shared" si="27"/>
        <v>198150.99999999997</v>
      </c>
      <c r="AT84" s="248"/>
      <c r="AU84" s="248">
        <f>SUM(AU79:AU83)</f>
        <v>43070207.106000006</v>
      </c>
      <c r="AV84" s="248"/>
      <c r="AW84" s="248">
        <f>SUM(AW79:AW83)</f>
        <v>19857494.001999997</v>
      </c>
      <c r="AX84" s="248">
        <f>SUM(AX79:AX83)</f>
        <v>23212713.104000002</v>
      </c>
      <c r="AY84" s="53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</row>
    <row r="85" spans="1:236" s="31" customFormat="1" ht="12.75" customHeight="1" thickBot="1">
      <c r="A85" s="266"/>
      <c r="B85" s="265"/>
      <c r="C85" s="290">
        <f aca="true" t="shared" si="29" ref="C85:AS85">+C84-C77</f>
        <v>0</v>
      </c>
      <c r="D85" s="290">
        <f t="shared" si="29"/>
        <v>0</v>
      </c>
      <c r="E85" s="290">
        <f t="shared" si="29"/>
        <v>0</v>
      </c>
      <c r="F85" s="290">
        <f t="shared" si="29"/>
        <v>0</v>
      </c>
      <c r="G85" s="290">
        <f t="shared" si="29"/>
        <v>0</v>
      </c>
      <c r="H85" s="290">
        <f t="shared" si="29"/>
        <v>0</v>
      </c>
      <c r="I85" s="290">
        <f t="shared" si="29"/>
        <v>0</v>
      </c>
      <c r="J85" s="290">
        <f t="shared" si="29"/>
        <v>0</v>
      </c>
      <c r="K85" s="290">
        <f t="shared" si="29"/>
        <v>0</v>
      </c>
      <c r="L85" s="290">
        <f>+L84-L77</f>
        <v>0</v>
      </c>
      <c r="M85" s="290">
        <f t="shared" si="29"/>
        <v>0</v>
      </c>
      <c r="N85" s="290">
        <f t="shared" si="29"/>
        <v>0</v>
      </c>
      <c r="O85" s="290">
        <f t="shared" si="29"/>
        <v>0</v>
      </c>
      <c r="P85" s="290">
        <f t="shared" si="29"/>
        <v>0</v>
      </c>
      <c r="Q85" s="290">
        <f>+Q84-Q77</f>
        <v>1933.002000000095</v>
      </c>
      <c r="R85" s="290">
        <f t="shared" si="29"/>
        <v>0</v>
      </c>
      <c r="S85" s="290">
        <f t="shared" si="29"/>
        <v>0</v>
      </c>
      <c r="T85" s="290">
        <f t="shared" si="29"/>
        <v>0</v>
      </c>
      <c r="U85" s="290">
        <f>+U84-U77</f>
        <v>9.104000000001179</v>
      </c>
      <c r="V85" s="290">
        <f t="shared" si="29"/>
        <v>0</v>
      </c>
      <c r="W85" s="290">
        <f t="shared" si="29"/>
        <v>0</v>
      </c>
      <c r="X85" s="290">
        <f>+X84-X77</f>
        <v>0</v>
      </c>
      <c r="Y85" s="290">
        <f>+Y84-Y77</f>
        <v>0</v>
      </c>
      <c r="Z85" s="290">
        <f t="shared" si="29"/>
        <v>0</v>
      </c>
      <c r="AA85" s="290">
        <f t="shared" si="29"/>
        <v>0</v>
      </c>
      <c r="AB85" s="290">
        <f t="shared" si="29"/>
        <v>0</v>
      </c>
      <c r="AC85" s="290">
        <f t="shared" si="29"/>
        <v>0</v>
      </c>
      <c r="AD85" s="290">
        <f>+AD84-AD77</f>
        <v>0</v>
      </c>
      <c r="AE85" s="290">
        <f t="shared" si="29"/>
        <v>0</v>
      </c>
      <c r="AF85" s="290">
        <f>+AF84-AF77</f>
        <v>0</v>
      </c>
      <c r="AG85" s="290">
        <f t="shared" si="29"/>
        <v>0</v>
      </c>
      <c r="AH85" s="290">
        <f aca="true" t="shared" si="30" ref="AH85:AP85">+AH84-AH77</f>
        <v>0</v>
      </c>
      <c r="AI85" s="290">
        <f t="shared" si="30"/>
        <v>0</v>
      </c>
      <c r="AJ85" s="290">
        <f>+AJ84-AJ77</f>
        <v>0</v>
      </c>
      <c r="AK85" s="290">
        <f t="shared" si="30"/>
        <v>0</v>
      </c>
      <c r="AL85" s="290">
        <f t="shared" si="30"/>
        <v>0</v>
      </c>
      <c r="AM85" s="290">
        <f t="shared" si="30"/>
        <v>0</v>
      </c>
      <c r="AN85" s="290">
        <f t="shared" si="30"/>
        <v>0</v>
      </c>
      <c r="AO85" s="290">
        <f t="shared" si="30"/>
        <v>0</v>
      </c>
      <c r="AP85" s="290">
        <f t="shared" si="30"/>
        <v>0</v>
      </c>
      <c r="AQ85" s="290">
        <f t="shared" si="29"/>
        <v>0</v>
      </c>
      <c r="AR85" s="290">
        <f t="shared" si="29"/>
        <v>0</v>
      </c>
      <c r="AS85" s="290">
        <f t="shared" si="29"/>
        <v>0</v>
      </c>
      <c r="AT85" s="290"/>
      <c r="AU85" s="290">
        <f>+AU84-'4.1. Samtryggingard.'!AU20</f>
        <v>1942.1060000061989</v>
      </c>
      <c r="AV85" s="290"/>
      <c r="AW85" s="290">
        <f>+AW84-'4.1. Samtryggingard.'!AW20</f>
        <v>1933.0019999966025</v>
      </c>
      <c r="AX85" s="290">
        <f>+AX84-'4.1. Samtryggingard.'!AX20</f>
        <v>9.104000002145767</v>
      </c>
      <c r="AY85" s="27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</row>
    <row r="86" spans="1:66" ht="12.75" customHeight="1">
      <c r="A86" s="194" t="s">
        <v>220</v>
      </c>
      <c r="B86" s="140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7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</row>
    <row r="87" spans="1:66" ht="12.75" customHeight="1">
      <c r="A87" s="164" t="s">
        <v>243</v>
      </c>
      <c r="B87" s="140"/>
      <c r="C87" s="248">
        <f>+'4.1. Samtryggingard.'!C86</f>
        <v>103985739</v>
      </c>
      <c r="D87" s="248">
        <f>+'4.1. Samtryggingard.'!D86</f>
        <v>193885541</v>
      </c>
      <c r="E87" s="248">
        <f>+'4.1. Samtryggingard.'!E86</f>
        <v>254314445</v>
      </c>
      <c r="F87" s="248">
        <f>+'4.1. Samtryggingard.'!F86</f>
        <v>226209557</v>
      </c>
      <c r="G87" s="248">
        <f>+'4.1. Samtryggingard.'!G86</f>
        <v>0</v>
      </c>
      <c r="H87" s="248">
        <f>+'4.1. Samtryggingard.'!H86</f>
        <v>91624861</v>
      </c>
      <c r="I87" s="248">
        <f>+'4.1. Samtryggingard.'!I86</f>
        <v>26019110</v>
      </c>
      <c r="J87" s="248">
        <f>+'4.1. Samtryggingard.'!J86</f>
        <v>4183012</v>
      </c>
      <c r="K87" s="248">
        <f>+'4.1. Samtryggingard.'!K86</f>
        <v>9109184</v>
      </c>
      <c r="L87" s="248">
        <f>+'4.1. Samtryggingard.'!L86</f>
        <v>88416476</v>
      </c>
      <c r="M87" s="248">
        <f>+'4.1. Samtryggingard.'!M86</f>
        <v>76678742</v>
      </c>
      <c r="N87" s="248">
        <f>+'4.1. Samtryggingard.'!N86</f>
        <v>12198629</v>
      </c>
      <c r="O87" s="248">
        <f>+'4.1. Samtryggingard.'!O86</f>
        <v>54424043</v>
      </c>
      <c r="P87" s="248">
        <f>+'4.1. Samtryggingard.'!P86</f>
        <v>54755834</v>
      </c>
      <c r="Q87" s="248">
        <f>+'4.1. Samtryggingard.'!Q86</f>
        <v>39951861</v>
      </c>
      <c r="R87" s="248">
        <f>+'4.1. Samtryggingard.'!R86</f>
        <v>25686600</v>
      </c>
      <c r="S87" s="248">
        <f>+'4.1. Samtryggingard.'!S86</f>
        <v>11142717</v>
      </c>
      <c r="T87" s="248">
        <f>+'4.1. Samtryggingard.'!T86</f>
        <v>28511647</v>
      </c>
      <c r="U87" s="248">
        <f>+'4.1. Samtryggingard.'!U86</f>
        <v>2378575</v>
      </c>
      <c r="V87" s="248">
        <f>+'4.1. Samtryggingard.'!V86</f>
        <v>24320883</v>
      </c>
      <c r="W87" s="248">
        <f>+'4.1. Samtryggingard.'!W86</f>
        <v>2602425</v>
      </c>
      <c r="X87" s="248">
        <f>+'4.1. Samtryggingard.'!X86</f>
        <v>26875609</v>
      </c>
      <c r="Y87" s="248">
        <f>+'4.1. Samtryggingard.'!Y86</f>
        <v>22917112</v>
      </c>
      <c r="Z87" s="248">
        <f>+'4.1. Samtryggingard.'!Z86</f>
        <v>23127559</v>
      </c>
      <c r="AA87" s="248">
        <f>+'4.1. Samtryggingard.'!AA86</f>
        <v>21507200</v>
      </c>
      <c r="AB87" s="248">
        <f>+'4.1. Samtryggingard.'!AB86</f>
        <v>15375199</v>
      </c>
      <c r="AC87" s="248">
        <f>+'4.1. Samtryggingard.'!AC86</f>
        <v>12736992</v>
      </c>
      <c r="AD87" s="248">
        <f>+'4.1. Samtryggingard.'!AD86</f>
        <v>10024367</v>
      </c>
      <c r="AE87" s="248">
        <f>+'4.1. Samtryggingard.'!AE86</f>
        <v>6838567</v>
      </c>
      <c r="AF87" s="248">
        <f>+'4.1. Samtryggingard.'!AF86</f>
        <v>5838892</v>
      </c>
      <c r="AG87" s="248">
        <f>+'4.1. Samtryggingard.'!AG86</f>
        <v>3886782</v>
      </c>
      <c r="AH87" s="248">
        <f>+'4.1. Samtryggingard.'!AH86</f>
        <v>293401</v>
      </c>
      <c r="AI87" s="248">
        <f>+'4.1. Samtryggingard.'!AI86</f>
        <v>2478103</v>
      </c>
      <c r="AJ87" s="248">
        <f>+'4.1. Samtryggingard.'!AJ86</f>
        <v>2242517</v>
      </c>
      <c r="AK87" s="248">
        <f>+'4.1. Samtryggingard.'!AK86</f>
        <v>804551</v>
      </c>
      <c r="AL87" s="248">
        <f>+'4.1. Samtryggingard.'!AL86</f>
        <v>1125280</v>
      </c>
      <c r="AM87" s="248">
        <f>+'4.1. Samtryggingard.'!AM86</f>
        <v>762778</v>
      </c>
      <c r="AN87" s="248">
        <f>+'4.1. Samtryggingard.'!AN86</f>
        <v>466687</v>
      </c>
      <c r="AO87" s="248">
        <f>+'4.1. Samtryggingard.'!AO86</f>
        <v>428681</v>
      </c>
      <c r="AP87" s="248">
        <f>+'4.1. Samtryggingard.'!AP86</f>
        <v>447331</v>
      </c>
      <c r="AQ87" s="248">
        <f>+'4.1. Samtryggingard.'!AQ86</f>
        <v>171851</v>
      </c>
      <c r="AR87" s="248">
        <f>+'4.1. Samtryggingard.'!AR86</f>
        <v>1377</v>
      </c>
      <c r="AS87" s="248">
        <f>+'4.1. Samtryggingard.'!AS86</f>
        <v>22327</v>
      </c>
      <c r="AT87" s="248"/>
      <c r="AU87" s="248">
        <f>SUM(C87:AS87)</f>
        <v>1488773044</v>
      </c>
      <c r="AV87" s="248"/>
      <c r="AW87" s="209">
        <f>SUMIF($C$60:$AS$60,"já",C87:AS87)</f>
        <v>277402444</v>
      </c>
      <c r="AX87" s="209">
        <f>SUMIF($C$60:$AS$60,"Nei",C87:AS87)</f>
        <v>1211370600</v>
      </c>
      <c r="AY87" s="27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</row>
    <row r="88" spans="1:66" ht="12.75" customHeight="1">
      <c r="A88" s="194"/>
      <c r="B88" s="140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7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</row>
    <row r="89" spans="1:236" ht="12.75" customHeight="1">
      <c r="A89" s="164" t="s">
        <v>237</v>
      </c>
      <c r="B89" s="140"/>
      <c r="C89" s="185">
        <f>+C87*C10%</f>
        <v>45337782.203999996</v>
      </c>
      <c r="D89" s="185">
        <f aca="true" t="shared" si="31" ref="D89:AS89">+D87*D10%</f>
        <v>85697409.122</v>
      </c>
      <c r="E89" s="185">
        <f t="shared" si="31"/>
        <v>130971939.175</v>
      </c>
      <c r="F89" s="185">
        <f t="shared" si="31"/>
        <v>91614870.58500001</v>
      </c>
      <c r="G89" s="185">
        <f t="shared" si="31"/>
        <v>0</v>
      </c>
      <c r="H89" s="185">
        <f t="shared" si="31"/>
        <v>42147436.06</v>
      </c>
      <c r="I89" s="185">
        <f t="shared" si="31"/>
        <v>16157867.31</v>
      </c>
      <c r="J89" s="185">
        <f t="shared" si="31"/>
        <v>2104055.036</v>
      </c>
      <c r="K89" s="185">
        <f t="shared" si="31"/>
        <v>5328872.64</v>
      </c>
      <c r="L89" s="185">
        <f>+L87*L10%</f>
        <v>43412489.716</v>
      </c>
      <c r="M89" s="185">
        <f t="shared" si="31"/>
        <v>30824854.284</v>
      </c>
      <c r="N89" s="185">
        <f t="shared" si="31"/>
        <v>7319177.399999999</v>
      </c>
      <c r="O89" s="185">
        <f t="shared" si="31"/>
        <v>20136895.91</v>
      </c>
      <c r="P89" s="185">
        <f t="shared" si="31"/>
        <v>24640125.3</v>
      </c>
      <c r="Q89" s="185">
        <f>+Q87*Q10%</f>
        <v>2477015.3819999998</v>
      </c>
      <c r="R89" s="185">
        <f t="shared" si="31"/>
        <v>3082392</v>
      </c>
      <c r="S89" s="185">
        <f t="shared" si="31"/>
        <v>5805355.557</v>
      </c>
      <c r="T89" s="185">
        <f t="shared" si="31"/>
        <v>12516613.033</v>
      </c>
      <c r="U89" s="185">
        <f>+U87*U10%</f>
        <v>1669759.6500000001</v>
      </c>
      <c r="V89" s="185">
        <f t="shared" si="31"/>
        <v>9460823.487</v>
      </c>
      <c r="W89" s="185">
        <f t="shared" si="31"/>
        <v>1012343.3250000001</v>
      </c>
      <c r="X89" s="185">
        <f>+X87*X10%</f>
        <v>14055943.507000001</v>
      </c>
      <c r="Y89" s="185">
        <f>+Y87*Y10%</f>
        <v>9923109.496</v>
      </c>
      <c r="Z89" s="185">
        <f t="shared" si="31"/>
        <v>10569294.463</v>
      </c>
      <c r="AA89" s="185">
        <f t="shared" si="31"/>
        <v>16560544</v>
      </c>
      <c r="AB89" s="185">
        <f t="shared" si="31"/>
        <v>10224507.335</v>
      </c>
      <c r="AC89" s="185">
        <f t="shared" si="31"/>
        <v>2802138.24</v>
      </c>
      <c r="AD89" s="185">
        <f>+AD87*AD10%</f>
        <v>6956910.698000001</v>
      </c>
      <c r="AE89" s="185">
        <f t="shared" si="31"/>
        <v>4875898.271</v>
      </c>
      <c r="AF89" s="185">
        <f>+AF87*AF10%</f>
        <v>1430528.54</v>
      </c>
      <c r="AG89" s="185">
        <f t="shared" si="31"/>
        <v>1962824.91</v>
      </c>
      <c r="AH89" s="185">
        <f aca="true" t="shared" si="32" ref="AH89:AP89">+AH87*AH10%</f>
        <v>235014.20099999997</v>
      </c>
      <c r="AI89" s="185">
        <f t="shared" si="32"/>
        <v>1714847.276</v>
      </c>
      <c r="AJ89" s="185">
        <f>+AJ87*AJ10%</f>
        <v>1119015.983</v>
      </c>
      <c r="AK89" s="185">
        <f t="shared" si="32"/>
        <v>540658.272</v>
      </c>
      <c r="AL89" s="185">
        <f t="shared" si="32"/>
        <v>845085.2799999999</v>
      </c>
      <c r="AM89" s="185">
        <f t="shared" si="32"/>
        <v>762.778</v>
      </c>
      <c r="AN89" s="185">
        <f t="shared" si="32"/>
        <v>166607.25900000002</v>
      </c>
      <c r="AO89" s="185">
        <f t="shared" si="32"/>
        <v>23148.774</v>
      </c>
      <c r="AP89" s="185">
        <f t="shared" si="32"/>
        <v>192799.661</v>
      </c>
      <c r="AQ89" s="185">
        <f t="shared" si="31"/>
        <v>119608.29599999999</v>
      </c>
      <c r="AR89" s="185">
        <f t="shared" si="31"/>
        <v>0</v>
      </c>
      <c r="AS89" s="185">
        <f t="shared" si="31"/>
        <v>0</v>
      </c>
      <c r="AT89" s="185"/>
      <c r="AU89" s="248">
        <f aca="true" t="shared" si="33" ref="AU89:AU94">SUM(C89:AS89)</f>
        <v>666037324.4159999</v>
      </c>
      <c r="AV89" s="185"/>
      <c r="AW89" s="209">
        <f aca="true" t="shared" si="34" ref="AW89:AW94">SUMIF($C$60:$AS$60,"já",C89:AS89)</f>
        <v>109748767.80499999</v>
      </c>
      <c r="AX89" s="209">
        <f aca="true" t="shared" si="35" ref="AX89:AX94">SUMIF($C$60:$AS$60,"Nei",C89:AS89)</f>
        <v>556288556.611</v>
      </c>
      <c r="AY89" s="27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</row>
    <row r="90" spans="1:51" ht="12.75" customHeight="1">
      <c r="A90" s="164" t="s">
        <v>238</v>
      </c>
      <c r="B90" s="140"/>
      <c r="C90" s="185">
        <f aca="true" t="shared" si="36" ref="C90:AS90">+C87*C11%</f>
        <v>39098637.864</v>
      </c>
      <c r="D90" s="185">
        <f t="shared" si="36"/>
        <v>67472168.26799999</v>
      </c>
      <c r="E90" s="185">
        <f t="shared" si="36"/>
        <v>78074534.615</v>
      </c>
      <c r="F90" s="185">
        <f t="shared" si="36"/>
        <v>94555594.82599999</v>
      </c>
      <c r="G90" s="185">
        <f t="shared" si="36"/>
        <v>0</v>
      </c>
      <c r="H90" s="185">
        <f t="shared" si="36"/>
        <v>34817447.18</v>
      </c>
      <c r="I90" s="185">
        <f t="shared" si="36"/>
        <v>6270605.510000001</v>
      </c>
      <c r="J90" s="185">
        <f t="shared" si="36"/>
        <v>1263269.624</v>
      </c>
      <c r="K90" s="185">
        <f t="shared" si="36"/>
        <v>2104221.504</v>
      </c>
      <c r="L90" s="185">
        <f>+L87*L11%</f>
        <v>38638000.012</v>
      </c>
      <c r="M90" s="185">
        <f t="shared" si="36"/>
        <v>27450989.636</v>
      </c>
      <c r="N90" s="185">
        <f t="shared" si="36"/>
        <v>4659876.278</v>
      </c>
      <c r="O90" s="185">
        <f t="shared" si="36"/>
        <v>32110185.369999997</v>
      </c>
      <c r="P90" s="185">
        <f t="shared" si="36"/>
        <v>24530613.632</v>
      </c>
      <c r="Q90" s="185">
        <f>+Q87*Q11%</f>
        <v>6831768.231000001</v>
      </c>
      <c r="R90" s="185">
        <f t="shared" si="36"/>
        <v>15694512.6</v>
      </c>
      <c r="S90" s="185">
        <f t="shared" si="36"/>
        <v>3320529.6659999997</v>
      </c>
      <c r="T90" s="185">
        <f t="shared" si="36"/>
        <v>8439447.512000002</v>
      </c>
      <c r="U90" s="185">
        <f>+U87*U11%</f>
        <v>114171.6</v>
      </c>
      <c r="V90" s="185">
        <f t="shared" si="36"/>
        <v>7952928.741</v>
      </c>
      <c r="W90" s="185">
        <f t="shared" si="36"/>
        <v>850992.975</v>
      </c>
      <c r="X90" s="185">
        <f>+X87*X11%</f>
        <v>11207128.953000002</v>
      </c>
      <c r="Y90" s="185">
        <f>+Y87*Y11%</f>
        <v>10312700.4</v>
      </c>
      <c r="Z90" s="185">
        <f t="shared" si="36"/>
        <v>9019748.01</v>
      </c>
      <c r="AA90" s="185">
        <f t="shared" si="36"/>
        <v>2924979.2</v>
      </c>
      <c r="AB90" s="185">
        <f t="shared" si="36"/>
        <v>1568270.298</v>
      </c>
      <c r="AC90" s="185">
        <f t="shared" si="36"/>
        <v>8546521.632</v>
      </c>
      <c r="AD90" s="185">
        <f>+AD87*AD11%</f>
        <v>1243021.508</v>
      </c>
      <c r="AE90" s="185">
        <f t="shared" si="36"/>
        <v>1819058.8220000002</v>
      </c>
      <c r="AF90" s="185">
        <f>+AF87*AF11%</f>
        <v>3672663.068</v>
      </c>
      <c r="AG90" s="185">
        <f t="shared" si="36"/>
        <v>963921.936</v>
      </c>
      <c r="AH90" s="185">
        <f aca="true" t="shared" si="37" ref="AH90:AP90">+AH87*AH11%</f>
        <v>12029.440999999999</v>
      </c>
      <c r="AI90" s="185">
        <f t="shared" si="37"/>
        <v>545182.66</v>
      </c>
      <c r="AJ90" s="185">
        <f>+AJ87*AJ11%</f>
        <v>845428.909</v>
      </c>
      <c r="AK90" s="185">
        <f t="shared" si="37"/>
        <v>117464.446</v>
      </c>
      <c r="AL90" s="185">
        <f t="shared" si="37"/>
        <v>50637.6</v>
      </c>
      <c r="AM90" s="185">
        <f t="shared" si="37"/>
        <v>216628.952</v>
      </c>
      <c r="AN90" s="185">
        <f t="shared" si="37"/>
        <v>273011.89499999996</v>
      </c>
      <c r="AO90" s="185">
        <f t="shared" si="37"/>
        <v>357519.954</v>
      </c>
      <c r="AP90" s="185">
        <f t="shared" si="37"/>
        <v>157460.51200000002</v>
      </c>
      <c r="AQ90" s="185">
        <f t="shared" si="36"/>
        <v>19934.716</v>
      </c>
      <c r="AR90" s="185">
        <f t="shared" si="36"/>
        <v>0</v>
      </c>
      <c r="AS90" s="185">
        <f t="shared" si="36"/>
        <v>0</v>
      </c>
      <c r="AT90" s="222"/>
      <c r="AU90" s="248">
        <f t="shared" si="33"/>
        <v>548123808.556</v>
      </c>
      <c r="AV90" s="186"/>
      <c r="AW90" s="209">
        <f t="shared" si="34"/>
        <v>90824527.13699998</v>
      </c>
      <c r="AX90" s="209">
        <f t="shared" si="35"/>
        <v>457299281.419</v>
      </c>
      <c r="AY90" s="27"/>
    </row>
    <row r="91" spans="1:51" ht="12.75" customHeight="1">
      <c r="A91" s="164" t="s">
        <v>239</v>
      </c>
      <c r="B91" s="140"/>
      <c r="C91" s="185">
        <f aca="true" t="shared" si="38" ref="C91:AS91">+C87*C12%</f>
        <v>1247828.868</v>
      </c>
      <c r="D91" s="185">
        <f t="shared" si="38"/>
        <v>1938855.4100000001</v>
      </c>
      <c r="E91" s="185">
        <f t="shared" si="38"/>
        <v>6866490.015000001</v>
      </c>
      <c r="F91" s="185">
        <f t="shared" si="38"/>
        <v>23073374.814</v>
      </c>
      <c r="G91" s="185">
        <f t="shared" si="38"/>
        <v>0</v>
      </c>
      <c r="H91" s="185">
        <f t="shared" si="38"/>
        <v>1740872.359</v>
      </c>
      <c r="I91" s="185">
        <f t="shared" si="38"/>
        <v>390286.64999999997</v>
      </c>
      <c r="J91" s="185">
        <f t="shared" si="38"/>
        <v>142222.408</v>
      </c>
      <c r="K91" s="185">
        <f t="shared" si="38"/>
        <v>136637.76</v>
      </c>
      <c r="L91" s="185">
        <f>+L87*L12%</f>
        <v>3359826.088</v>
      </c>
      <c r="M91" s="185">
        <f t="shared" si="38"/>
        <v>4830760.746</v>
      </c>
      <c r="N91" s="185">
        <f t="shared" si="38"/>
        <v>24397.258</v>
      </c>
      <c r="O91" s="185">
        <f t="shared" si="38"/>
        <v>0</v>
      </c>
      <c r="P91" s="185">
        <f t="shared" si="38"/>
        <v>3285350.04</v>
      </c>
      <c r="Q91" s="185">
        <f>+Q87*Q12%</f>
        <v>119855.583</v>
      </c>
      <c r="R91" s="185">
        <f t="shared" si="38"/>
        <v>0</v>
      </c>
      <c r="S91" s="185">
        <f t="shared" si="38"/>
        <v>701991.171</v>
      </c>
      <c r="T91" s="185">
        <f t="shared" si="38"/>
        <v>655767.8809999999</v>
      </c>
      <c r="U91" s="185">
        <f>+U87*U12%</f>
        <v>501879.32500000007</v>
      </c>
      <c r="V91" s="185">
        <f t="shared" si="38"/>
        <v>1605178.2780000002</v>
      </c>
      <c r="W91" s="185">
        <f t="shared" si="38"/>
        <v>171760.05000000002</v>
      </c>
      <c r="X91" s="185">
        <f>+X87*X12%</f>
        <v>456885.35300000006</v>
      </c>
      <c r="Y91" s="185">
        <f>+Y87*Y12%</f>
        <v>22917.112</v>
      </c>
      <c r="Z91" s="185">
        <f t="shared" si="38"/>
        <v>277530.708</v>
      </c>
      <c r="AA91" s="185">
        <f t="shared" si="38"/>
        <v>559187.2000000001</v>
      </c>
      <c r="AB91" s="185">
        <f t="shared" si="38"/>
        <v>461255.97</v>
      </c>
      <c r="AC91" s="185">
        <f t="shared" si="38"/>
        <v>0</v>
      </c>
      <c r="AD91" s="185">
        <f>+AD87*AD12%</f>
        <v>1423460.1139999998</v>
      </c>
      <c r="AE91" s="185">
        <f t="shared" si="38"/>
        <v>0</v>
      </c>
      <c r="AF91" s="185">
        <f>+AF87*AF12%</f>
        <v>0</v>
      </c>
      <c r="AG91" s="185">
        <f t="shared" si="38"/>
        <v>11660.346</v>
      </c>
      <c r="AH91" s="185">
        <f aca="true" t="shared" si="39" ref="AH91:AP91">+AH87*AH12%</f>
        <v>46357.358</v>
      </c>
      <c r="AI91" s="185">
        <f t="shared" si="39"/>
        <v>0</v>
      </c>
      <c r="AJ91" s="185">
        <f>+AJ87*AJ12%</f>
        <v>20182.653000000002</v>
      </c>
      <c r="AK91" s="185">
        <f t="shared" si="39"/>
        <v>85282.406</v>
      </c>
      <c r="AL91" s="185">
        <f t="shared" si="39"/>
        <v>178919.52</v>
      </c>
      <c r="AM91" s="185">
        <f t="shared" si="39"/>
        <v>5339.445999999999</v>
      </c>
      <c r="AN91" s="185">
        <f t="shared" si="39"/>
        <v>0</v>
      </c>
      <c r="AO91" s="185">
        <f t="shared" si="39"/>
        <v>0</v>
      </c>
      <c r="AP91" s="185">
        <f t="shared" si="39"/>
        <v>1341.993</v>
      </c>
      <c r="AQ91" s="185">
        <f t="shared" si="38"/>
        <v>0</v>
      </c>
      <c r="AR91" s="185">
        <f t="shared" si="38"/>
        <v>662.3370000000001</v>
      </c>
      <c r="AS91" s="185">
        <f t="shared" si="38"/>
        <v>0</v>
      </c>
      <c r="AT91" s="248"/>
      <c r="AU91" s="248">
        <f t="shared" si="33"/>
        <v>54344317.21999999</v>
      </c>
      <c r="AV91" s="248"/>
      <c r="AW91" s="209">
        <f t="shared" si="34"/>
        <v>2622630.61</v>
      </c>
      <c r="AX91" s="209">
        <f t="shared" si="35"/>
        <v>51721686.61</v>
      </c>
      <c r="AY91" s="27"/>
    </row>
    <row r="92" spans="1:152" ht="12.75" customHeight="1">
      <c r="A92" s="164" t="s">
        <v>240</v>
      </c>
      <c r="B92" s="140"/>
      <c r="C92" s="185">
        <f aca="true" t="shared" si="40" ref="C92:AS92">+C87*C13%</f>
        <v>2911600.692</v>
      </c>
      <c r="D92" s="185">
        <f t="shared" si="40"/>
        <v>11051475.837000001</v>
      </c>
      <c r="E92" s="185">
        <f t="shared" si="40"/>
        <v>4069031.12</v>
      </c>
      <c r="F92" s="185">
        <f t="shared" si="40"/>
        <v>6333867.595999999</v>
      </c>
      <c r="G92" s="185">
        <f t="shared" si="40"/>
        <v>0</v>
      </c>
      <c r="H92" s="185">
        <f t="shared" si="40"/>
        <v>1832497.22</v>
      </c>
      <c r="I92" s="185">
        <f t="shared" si="40"/>
        <v>728535.08</v>
      </c>
      <c r="J92" s="185">
        <f t="shared" si="40"/>
        <v>121307.348</v>
      </c>
      <c r="K92" s="185">
        <f t="shared" si="40"/>
        <v>273275.52</v>
      </c>
      <c r="L92" s="185">
        <f>+L87*L13%</f>
        <v>530498.856</v>
      </c>
      <c r="M92" s="185">
        <f t="shared" si="40"/>
        <v>1303538.614</v>
      </c>
      <c r="N92" s="185">
        <f t="shared" si="40"/>
        <v>170780.80599999998</v>
      </c>
      <c r="O92" s="185">
        <f t="shared" si="40"/>
        <v>435392.344</v>
      </c>
      <c r="P92" s="185">
        <f t="shared" si="40"/>
        <v>821337.51</v>
      </c>
      <c r="Q92" s="185">
        <f>+Q87*Q13%</f>
        <v>29444521.557</v>
      </c>
      <c r="R92" s="185">
        <f t="shared" si="40"/>
        <v>2183361</v>
      </c>
      <c r="S92" s="185">
        <f t="shared" si="40"/>
        <v>178283.472</v>
      </c>
      <c r="T92" s="185">
        <f t="shared" si="40"/>
        <v>1568140.585</v>
      </c>
      <c r="U92" s="185">
        <f>+U87*U13%</f>
        <v>92764.425</v>
      </c>
      <c r="V92" s="185">
        <f t="shared" si="40"/>
        <v>413455.01100000006</v>
      </c>
      <c r="W92" s="185">
        <f t="shared" si="40"/>
        <v>44241.225000000006</v>
      </c>
      <c r="X92" s="185">
        <f>+X87*X13%</f>
        <v>752517.0519999999</v>
      </c>
      <c r="Y92" s="185">
        <f>+Y87*Y13%</f>
        <v>962518.704</v>
      </c>
      <c r="Z92" s="185">
        <f t="shared" si="40"/>
        <v>901974.801</v>
      </c>
      <c r="AA92" s="185">
        <f t="shared" si="40"/>
        <v>731244.8</v>
      </c>
      <c r="AB92" s="185">
        <f t="shared" si="40"/>
        <v>568882.3630000001</v>
      </c>
      <c r="AC92" s="185">
        <f t="shared" si="40"/>
        <v>1069907.328</v>
      </c>
      <c r="AD92" s="185">
        <f>+AD87*AD13%</f>
        <v>340828.478</v>
      </c>
      <c r="AE92" s="185">
        <f t="shared" si="40"/>
        <v>143609.907</v>
      </c>
      <c r="AF92" s="185">
        <f>+AF87*AF13%</f>
        <v>677311.472</v>
      </c>
      <c r="AG92" s="185">
        <f t="shared" si="40"/>
        <v>948374.808</v>
      </c>
      <c r="AH92" s="185">
        <f aca="true" t="shared" si="41" ref="AH92:AP92">+AH87*AH13%</f>
        <v>0</v>
      </c>
      <c r="AI92" s="185">
        <f t="shared" si="41"/>
        <v>49562.06</v>
      </c>
      <c r="AJ92" s="185">
        <f>+AJ87*AJ13%</f>
        <v>0</v>
      </c>
      <c r="AK92" s="185">
        <f t="shared" si="41"/>
        <v>28159.285000000003</v>
      </c>
      <c r="AL92" s="185">
        <f t="shared" si="41"/>
        <v>23630.88</v>
      </c>
      <c r="AM92" s="185">
        <f t="shared" si="41"/>
        <v>87719.47</v>
      </c>
      <c r="AN92" s="185">
        <f t="shared" si="41"/>
        <v>0</v>
      </c>
      <c r="AO92" s="185">
        <f t="shared" si="41"/>
        <v>37295.246999999996</v>
      </c>
      <c r="AP92" s="185">
        <f t="shared" si="41"/>
        <v>28181.853</v>
      </c>
      <c r="AQ92" s="185">
        <f t="shared" si="40"/>
        <v>28011.713</v>
      </c>
      <c r="AR92" s="185">
        <f t="shared" si="40"/>
        <v>0</v>
      </c>
      <c r="AS92" s="185">
        <f t="shared" si="40"/>
        <v>12056.58</v>
      </c>
      <c r="AT92" s="248"/>
      <c r="AU92" s="248">
        <f t="shared" si="33"/>
        <v>71899692.61899999</v>
      </c>
      <c r="AV92" s="248"/>
      <c r="AW92" s="209">
        <f t="shared" si="34"/>
        <v>42388495.945</v>
      </c>
      <c r="AX92" s="209">
        <f t="shared" si="35"/>
        <v>29511196.67400001</v>
      </c>
      <c r="AY92" s="27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</row>
    <row r="93" spans="1:152" ht="12.75" customHeight="1">
      <c r="A93" s="164" t="s">
        <v>241</v>
      </c>
      <c r="B93" s="140"/>
      <c r="C93" s="185">
        <f aca="true" t="shared" si="42" ref="C93:AS93">+C87*C14%</f>
        <v>15389889.372000001</v>
      </c>
      <c r="D93" s="185">
        <f t="shared" si="42"/>
        <v>27725632.363</v>
      </c>
      <c r="E93" s="185">
        <f t="shared" si="42"/>
        <v>34332450.075</v>
      </c>
      <c r="F93" s="185">
        <f t="shared" si="42"/>
        <v>10631849.179</v>
      </c>
      <c r="G93" s="185">
        <f t="shared" si="42"/>
        <v>0</v>
      </c>
      <c r="H93" s="185">
        <f t="shared" si="42"/>
        <v>11086608.181</v>
      </c>
      <c r="I93" s="185">
        <f t="shared" si="42"/>
        <v>2471815.45</v>
      </c>
      <c r="J93" s="185">
        <f t="shared" si="42"/>
        <v>552157.584</v>
      </c>
      <c r="K93" s="185">
        <f t="shared" si="42"/>
        <v>1266176.5760000001</v>
      </c>
      <c r="L93" s="185">
        <f>+L87*L14%</f>
        <v>1149414.188</v>
      </c>
      <c r="M93" s="185">
        <f t="shared" si="42"/>
        <v>10198272.686</v>
      </c>
      <c r="N93" s="185">
        <f t="shared" si="42"/>
        <v>24397.258</v>
      </c>
      <c r="O93" s="185">
        <f t="shared" si="42"/>
        <v>1741569.376</v>
      </c>
      <c r="P93" s="185">
        <f t="shared" si="42"/>
        <v>1040360.846</v>
      </c>
      <c r="Q93" s="185">
        <f>+Q87*Q14%</f>
        <v>1078700.2470000002</v>
      </c>
      <c r="R93" s="185">
        <f t="shared" si="42"/>
        <v>1078837.2</v>
      </c>
      <c r="S93" s="185">
        <f t="shared" si="42"/>
        <v>1136557.1339999998</v>
      </c>
      <c r="T93" s="185">
        <f t="shared" si="42"/>
        <v>3820560.6980000003</v>
      </c>
      <c r="U93" s="185">
        <f>+U87*U14%</f>
        <v>0</v>
      </c>
      <c r="V93" s="185">
        <f t="shared" si="42"/>
        <v>4183191.8759999997</v>
      </c>
      <c r="W93" s="185">
        <f t="shared" si="42"/>
        <v>447617.1</v>
      </c>
      <c r="X93" s="185">
        <f>+X87*X14%</f>
        <v>403134.135</v>
      </c>
      <c r="Y93" s="185">
        <f>+Y87*Y14%</f>
        <v>0</v>
      </c>
      <c r="Z93" s="185">
        <f t="shared" si="42"/>
        <v>2359011.0179999997</v>
      </c>
      <c r="AA93" s="185">
        <f t="shared" si="42"/>
        <v>344115.2</v>
      </c>
      <c r="AB93" s="185">
        <f t="shared" si="42"/>
        <v>2552283.034</v>
      </c>
      <c r="AC93" s="185">
        <f t="shared" si="42"/>
        <v>318424.80000000005</v>
      </c>
      <c r="AD93" s="185">
        <f>+AD87*AD14%</f>
        <v>60146.202000000005</v>
      </c>
      <c r="AE93" s="185">
        <f t="shared" si="42"/>
        <v>0</v>
      </c>
      <c r="AF93" s="185">
        <f>+AF87*AF14%</f>
        <v>58388.92</v>
      </c>
      <c r="AG93" s="185">
        <f t="shared" si="42"/>
        <v>0</v>
      </c>
      <c r="AH93" s="185">
        <f aca="true" t="shared" si="43" ref="AH93:AP93">+AH87*AH14%</f>
        <v>0</v>
      </c>
      <c r="AI93" s="185">
        <f t="shared" si="43"/>
        <v>168511.00400000002</v>
      </c>
      <c r="AJ93" s="185">
        <f>+AJ87*AJ14%</f>
        <v>257889.45500000002</v>
      </c>
      <c r="AK93" s="185">
        <f t="shared" si="43"/>
        <v>32986.59099999999</v>
      </c>
      <c r="AL93" s="185">
        <f t="shared" si="43"/>
        <v>27006.72</v>
      </c>
      <c r="AM93" s="185">
        <f t="shared" si="43"/>
        <v>12204.448</v>
      </c>
      <c r="AN93" s="185">
        <f t="shared" si="43"/>
        <v>11200.488</v>
      </c>
      <c r="AO93" s="185">
        <f t="shared" si="43"/>
        <v>10717.025000000001</v>
      </c>
      <c r="AP93" s="185">
        <f t="shared" si="43"/>
        <v>33102.494000000006</v>
      </c>
      <c r="AQ93" s="185">
        <f t="shared" si="42"/>
        <v>4296.275000000001</v>
      </c>
      <c r="AR93" s="185">
        <f t="shared" si="42"/>
        <v>714.663</v>
      </c>
      <c r="AS93" s="185">
        <f t="shared" si="42"/>
        <v>10270.42</v>
      </c>
      <c r="AT93" s="248"/>
      <c r="AU93" s="248">
        <f t="shared" si="33"/>
        <v>136020460.28100002</v>
      </c>
      <c r="AV93" s="248"/>
      <c r="AW93" s="209">
        <f t="shared" si="34"/>
        <v>31767710.658</v>
      </c>
      <c r="AX93" s="209">
        <f t="shared" si="35"/>
        <v>104252749.62300003</v>
      </c>
      <c r="AY93" s="27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</row>
    <row r="94" spans="1:152" ht="12.75" customHeight="1">
      <c r="A94" s="164" t="s">
        <v>242</v>
      </c>
      <c r="B94" s="140"/>
      <c r="C94" s="289">
        <f aca="true" t="shared" si="44" ref="C94:AS94">+C87*C15%</f>
        <v>0</v>
      </c>
      <c r="D94" s="289">
        <f t="shared" si="44"/>
        <v>0</v>
      </c>
      <c r="E94" s="289">
        <f t="shared" si="44"/>
        <v>0</v>
      </c>
      <c r="F94" s="289">
        <f t="shared" si="44"/>
        <v>0</v>
      </c>
      <c r="G94" s="289">
        <f t="shared" si="44"/>
        <v>0</v>
      </c>
      <c r="H94" s="289">
        <f t="shared" si="44"/>
        <v>0</v>
      </c>
      <c r="I94" s="289">
        <f t="shared" si="44"/>
        <v>0</v>
      </c>
      <c r="J94" s="289">
        <f t="shared" si="44"/>
        <v>0</v>
      </c>
      <c r="K94" s="289">
        <f t="shared" si="44"/>
        <v>0</v>
      </c>
      <c r="L94" s="289">
        <f>+L87*L15%</f>
        <v>1326247.14</v>
      </c>
      <c r="M94" s="289">
        <f t="shared" si="44"/>
        <v>2070326.0340000002</v>
      </c>
      <c r="N94" s="289">
        <f t="shared" si="44"/>
        <v>0</v>
      </c>
      <c r="O94" s="289">
        <f t="shared" si="44"/>
        <v>0</v>
      </c>
      <c r="P94" s="289">
        <f t="shared" si="44"/>
        <v>438046.672</v>
      </c>
      <c r="Q94" s="289">
        <f>+Q87*Q15%</f>
        <v>0</v>
      </c>
      <c r="R94" s="289">
        <f t="shared" si="44"/>
        <v>3647497.1999999997</v>
      </c>
      <c r="S94" s="289">
        <f t="shared" si="44"/>
        <v>0</v>
      </c>
      <c r="T94" s="289">
        <f t="shared" si="44"/>
        <v>1511117.291</v>
      </c>
      <c r="U94" s="289">
        <f>+U87*U15%</f>
        <v>0</v>
      </c>
      <c r="V94" s="289">
        <f t="shared" si="44"/>
        <v>705305.607</v>
      </c>
      <c r="W94" s="289">
        <f t="shared" si="44"/>
        <v>75470.325</v>
      </c>
      <c r="X94" s="289">
        <f>+X87*X15%</f>
        <v>0</v>
      </c>
      <c r="Y94" s="289">
        <f>+Y87*Y15%</f>
        <v>1695866.2880000002</v>
      </c>
      <c r="Z94" s="289">
        <f t="shared" si="44"/>
        <v>0</v>
      </c>
      <c r="AA94" s="289">
        <f t="shared" si="44"/>
        <v>387129.60000000003</v>
      </c>
      <c r="AB94" s="289">
        <f t="shared" si="44"/>
        <v>0</v>
      </c>
      <c r="AC94" s="289">
        <f t="shared" si="44"/>
        <v>0</v>
      </c>
      <c r="AD94" s="289">
        <f>+AD87*AD15%</f>
        <v>0</v>
      </c>
      <c r="AE94" s="289">
        <f t="shared" si="44"/>
        <v>0</v>
      </c>
      <c r="AF94" s="289">
        <f>+AF87*AF15%</f>
        <v>0</v>
      </c>
      <c r="AG94" s="289">
        <f t="shared" si="44"/>
        <v>0</v>
      </c>
      <c r="AH94" s="289">
        <f aca="true" t="shared" si="45" ref="AH94:AP94">+AH87*AH15%</f>
        <v>0</v>
      </c>
      <c r="AI94" s="289">
        <f t="shared" si="45"/>
        <v>0</v>
      </c>
      <c r="AJ94" s="289">
        <f>+AJ87*AJ15%</f>
        <v>0</v>
      </c>
      <c r="AK94" s="289">
        <f t="shared" si="45"/>
        <v>0</v>
      </c>
      <c r="AL94" s="289">
        <f t="shared" si="45"/>
        <v>0</v>
      </c>
      <c r="AM94" s="289">
        <f t="shared" si="45"/>
        <v>440122.9060000001</v>
      </c>
      <c r="AN94" s="289">
        <f t="shared" si="45"/>
        <v>15867.358000000002</v>
      </c>
      <c r="AO94" s="289">
        <f t="shared" si="45"/>
        <v>0</v>
      </c>
      <c r="AP94" s="289">
        <f t="shared" si="45"/>
        <v>34444.487</v>
      </c>
      <c r="AQ94" s="289">
        <f t="shared" si="44"/>
        <v>0</v>
      </c>
      <c r="AR94" s="289">
        <f t="shared" si="44"/>
        <v>0</v>
      </c>
      <c r="AS94" s="289">
        <f t="shared" si="44"/>
        <v>0</v>
      </c>
      <c r="AT94" s="248"/>
      <c r="AU94" s="291">
        <f t="shared" si="33"/>
        <v>12347440.907999998</v>
      </c>
      <c r="AV94" s="248"/>
      <c r="AW94" s="289">
        <f t="shared" si="34"/>
        <v>50311.845</v>
      </c>
      <c r="AX94" s="289">
        <f t="shared" si="35"/>
        <v>12297129.063</v>
      </c>
      <c r="AY94" s="27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</row>
    <row r="95" spans="1:152" ht="12.75" customHeight="1">
      <c r="A95" s="164" t="s">
        <v>179</v>
      </c>
      <c r="B95" s="140"/>
      <c r="C95" s="248">
        <f aca="true" t="shared" si="46" ref="C95:AS95">SUM(C89:C94)</f>
        <v>103985739</v>
      </c>
      <c r="D95" s="248">
        <f t="shared" si="46"/>
        <v>193885541</v>
      </c>
      <c r="E95" s="248">
        <f t="shared" si="46"/>
        <v>254314445</v>
      </c>
      <c r="F95" s="248">
        <f t="shared" si="46"/>
        <v>226209557</v>
      </c>
      <c r="G95" s="248">
        <f t="shared" si="46"/>
        <v>0</v>
      </c>
      <c r="H95" s="248">
        <f t="shared" si="46"/>
        <v>91624861</v>
      </c>
      <c r="I95" s="248">
        <f t="shared" si="46"/>
        <v>26019109.999999996</v>
      </c>
      <c r="J95" s="248">
        <f t="shared" si="46"/>
        <v>4183012</v>
      </c>
      <c r="K95" s="248">
        <f t="shared" si="46"/>
        <v>9109183.999999998</v>
      </c>
      <c r="L95" s="248">
        <f>SUM(L89:L94)</f>
        <v>88416476</v>
      </c>
      <c r="M95" s="248">
        <f t="shared" si="46"/>
        <v>76678742</v>
      </c>
      <c r="N95" s="248">
        <f t="shared" si="46"/>
        <v>12198628.999999998</v>
      </c>
      <c r="O95" s="248">
        <f t="shared" si="46"/>
        <v>54424043</v>
      </c>
      <c r="P95" s="248">
        <f t="shared" si="46"/>
        <v>54755833.99999999</v>
      </c>
      <c r="Q95" s="248">
        <f>SUM(Q89:Q94)</f>
        <v>39951861</v>
      </c>
      <c r="R95" s="248">
        <f t="shared" si="46"/>
        <v>25686600</v>
      </c>
      <c r="S95" s="248">
        <f t="shared" si="46"/>
        <v>11142716.999999998</v>
      </c>
      <c r="T95" s="248">
        <f t="shared" si="46"/>
        <v>28511647.000000004</v>
      </c>
      <c r="U95" s="248">
        <f>SUM(U89:U94)</f>
        <v>2378575</v>
      </c>
      <c r="V95" s="248">
        <f t="shared" si="46"/>
        <v>24320883</v>
      </c>
      <c r="W95" s="248">
        <f t="shared" si="46"/>
        <v>2602425.0000000005</v>
      </c>
      <c r="X95" s="248">
        <f>SUM(X89:X94)</f>
        <v>26875609.000000004</v>
      </c>
      <c r="Y95" s="248">
        <f>SUM(Y89:Y94)</f>
        <v>22917111.999999996</v>
      </c>
      <c r="Z95" s="248">
        <f t="shared" si="46"/>
        <v>23127558.999999996</v>
      </c>
      <c r="AA95" s="248">
        <f t="shared" si="46"/>
        <v>21507200</v>
      </c>
      <c r="AB95" s="248">
        <f t="shared" si="46"/>
        <v>15375199.000000002</v>
      </c>
      <c r="AC95" s="248">
        <f t="shared" si="46"/>
        <v>12736992</v>
      </c>
      <c r="AD95" s="248">
        <f>SUM(AD89:AD94)</f>
        <v>10024367</v>
      </c>
      <c r="AE95" s="248">
        <f t="shared" si="46"/>
        <v>6838567</v>
      </c>
      <c r="AF95" s="248">
        <f>SUM(AF89:AF94)</f>
        <v>5838892</v>
      </c>
      <c r="AG95" s="248">
        <f t="shared" si="46"/>
        <v>3886782</v>
      </c>
      <c r="AH95" s="248">
        <f aca="true" t="shared" si="47" ref="AH95:AP95">SUM(AH89:AH94)</f>
        <v>293400.99999999994</v>
      </c>
      <c r="AI95" s="248">
        <f t="shared" si="47"/>
        <v>2478103.0000000005</v>
      </c>
      <c r="AJ95" s="248">
        <f>SUM(AJ89:AJ94)</f>
        <v>2242517</v>
      </c>
      <c r="AK95" s="248">
        <f t="shared" si="47"/>
        <v>804551</v>
      </c>
      <c r="AL95" s="248">
        <f t="shared" si="47"/>
        <v>1125279.9999999998</v>
      </c>
      <c r="AM95" s="248">
        <f t="shared" si="47"/>
        <v>762778</v>
      </c>
      <c r="AN95" s="248">
        <f t="shared" si="47"/>
        <v>466687</v>
      </c>
      <c r="AO95" s="248">
        <f t="shared" si="47"/>
        <v>428681</v>
      </c>
      <c r="AP95" s="248">
        <f t="shared" si="47"/>
        <v>447331.00000000006</v>
      </c>
      <c r="AQ95" s="248">
        <f t="shared" si="46"/>
        <v>171850.99999999997</v>
      </c>
      <c r="AR95" s="248">
        <f t="shared" si="46"/>
        <v>1377</v>
      </c>
      <c r="AS95" s="248">
        <f t="shared" si="46"/>
        <v>22327</v>
      </c>
      <c r="AT95" s="248"/>
      <c r="AU95" s="248">
        <f>SUM(AU89:AU94)</f>
        <v>1488773044</v>
      </c>
      <c r="AV95" s="248"/>
      <c r="AW95" s="248">
        <f>SUM(AW89:AW94)</f>
        <v>277402444</v>
      </c>
      <c r="AX95" s="248">
        <f>SUM(AX89:AX94)</f>
        <v>1211370599.9999998</v>
      </c>
      <c r="AY95" s="27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</row>
    <row r="96" spans="1:236" s="31" customFormat="1" ht="12.75" customHeight="1" thickBot="1">
      <c r="A96" s="292"/>
      <c r="B96" s="293"/>
      <c r="C96" s="290">
        <f aca="true" t="shared" si="48" ref="C96:AS96">+C95-C87</f>
        <v>0</v>
      </c>
      <c r="D96" s="290">
        <f t="shared" si="48"/>
        <v>0</v>
      </c>
      <c r="E96" s="290">
        <f t="shared" si="48"/>
        <v>0</v>
      </c>
      <c r="F96" s="290">
        <f t="shared" si="48"/>
        <v>0</v>
      </c>
      <c r="G96" s="290">
        <f t="shared" si="48"/>
        <v>0</v>
      </c>
      <c r="H96" s="290">
        <f t="shared" si="48"/>
        <v>0</v>
      </c>
      <c r="I96" s="290">
        <f t="shared" si="48"/>
        <v>0</v>
      </c>
      <c r="J96" s="290">
        <f t="shared" si="48"/>
        <v>0</v>
      </c>
      <c r="K96" s="290">
        <f t="shared" si="48"/>
        <v>0</v>
      </c>
      <c r="L96" s="290">
        <f>+L95-L87</f>
        <v>0</v>
      </c>
      <c r="M96" s="290">
        <f t="shared" si="48"/>
        <v>0</v>
      </c>
      <c r="N96" s="290">
        <f t="shared" si="48"/>
        <v>0</v>
      </c>
      <c r="O96" s="290">
        <f t="shared" si="48"/>
        <v>0</v>
      </c>
      <c r="P96" s="290">
        <f t="shared" si="48"/>
        <v>0</v>
      </c>
      <c r="Q96" s="290">
        <f>+Q95-Q87</f>
        <v>0</v>
      </c>
      <c r="R96" s="290">
        <f t="shared" si="48"/>
        <v>0</v>
      </c>
      <c r="S96" s="290">
        <f t="shared" si="48"/>
        <v>0</v>
      </c>
      <c r="T96" s="290">
        <f t="shared" si="48"/>
        <v>0</v>
      </c>
      <c r="U96" s="290">
        <f>+U95-U87</f>
        <v>0</v>
      </c>
      <c r="V96" s="290">
        <f t="shared" si="48"/>
        <v>0</v>
      </c>
      <c r="W96" s="290">
        <f t="shared" si="48"/>
        <v>0</v>
      </c>
      <c r="X96" s="290">
        <f>+X95-X87</f>
        <v>0</v>
      </c>
      <c r="Y96" s="290">
        <f>+Y95-Y87</f>
        <v>0</v>
      </c>
      <c r="Z96" s="290">
        <f t="shared" si="48"/>
        <v>0</v>
      </c>
      <c r="AA96" s="290">
        <f t="shared" si="48"/>
        <v>0</v>
      </c>
      <c r="AB96" s="290">
        <f t="shared" si="48"/>
        <v>0</v>
      </c>
      <c r="AC96" s="290">
        <f t="shared" si="48"/>
        <v>0</v>
      </c>
      <c r="AD96" s="290">
        <f>+AD95-AD87</f>
        <v>0</v>
      </c>
      <c r="AE96" s="290">
        <f t="shared" si="48"/>
        <v>0</v>
      </c>
      <c r="AF96" s="290">
        <f>+AF95-AF87</f>
        <v>0</v>
      </c>
      <c r="AG96" s="290">
        <f t="shared" si="48"/>
        <v>0</v>
      </c>
      <c r="AH96" s="290">
        <f aca="true" t="shared" si="49" ref="AH96:AP96">+AH95-AH87</f>
        <v>0</v>
      </c>
      <c r="AI96" s="290">
        <f t="shared" si="49"/>
        <v>0</v>
      </c>
      <c r="AJ96" s="290">
        <f>+AJ95-AJ87</f>
        <v>0</v>
      </c>
      <c r="AK96" s="290">
        <f t="shared" si="49"/>
        <v>0</v>
      </c>
      <c r="AL96" s="290">
        <f t="shared" si="49"/>
        <v>0</v>
      </c>
      <c r="AM96" s="290">
        <f t="shared" si="49"/>
        <v>0</v>
      </c>
      <c r="AN96" s="290">
        <f t="shared" si="49"/>
        <v>0</v>
      </c>
      <c r="AO96" s="290">
        <f t="shared" si="49"/>
        <v>0</v>
      </c>
      <c r="AP96" s="290">
        <f t="shared" si="49"/>
        <v>0</v>
      </c>
      <c r="AQ96" s="290">
        <f t="shared" si="48"/>
        <v>0</v>
      </c>
      <c r="AR96" s="290">
        <f t="shared" si="48"/>
        <v>0</v>
      </c>
      <c r="AS96" s="290">
        <f t="shared" si="48"/>
        <v>0</v>
      </c>
      <c r="AT96" s="290"/>
      <c r="AU96" s="290">
        <f>+AU95-'4.1. Samtryggingard.'!AU86</f>
        <v>0</v>
      </c>
      <c r="AV96" s="290"/>
      <c r="AW96" s="290">
        <f>+AW95-'4.1. Samtryggingard.'!AW86</f>
        <v>0</v>
      </c>
      <c r="AX96" s="290">
        <f>+AX95-'4.1. Samtryggingard.'!AX86</f>
        <v>0</v>
      </c>
      <c r="AY96" s="27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</row>
    <row r="97" spans="1:152" ht="12.75" customHeight="1">
      <c r="A97" s="194" t="s">
        <v>221</v>
      </c>
      <c r="B97" s="140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7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</row>
    <row r="98" spans="1:51" ht="12.75" customHeight="1">
      <c r="A98" s="164" t="s">
        <v>244</v>
      </c>
      <c r="B98" s="140"/>
      <c r="C98" s="185">
        <f aca="true" t="shared" si="50" ref="C98:AS98">+C87*C18%</f>
        <v>71334216.954</v>
      </c>
      <c r="D98" s="185">
        <f t="shared" si="50"/>
        <v>134168794.37200001</v>
      </c>
      <c r="E98" s="185">
        <f t="shared" si="50"/>
        <v>171916564.82</v>
      </c>
      <c r="F98" s="185">
        <f t="shared" si="50"/>
        <v>196802314.59</v>
      </c>
      <c r="G98" s="185">
        <f>+G87*G18%</f>
        <v>0</v>
      </c>
      <c r="H98" s="185">
        <f t="shared" si="50"/>
        <v>62030030.89700001</v>
      </c>
      <c r="I98" s="185">
        <f t="shared" si="50"/>
        <v>18473568.099999998</v>
      </c>
      <c r="J98" s="185">
        <f t="shared" si="50"/>
        <v>4111900.796</v>
      </c>
      <c r="K98" s="185">
        <f t="shared" si="50"/>
        <v>6950307.392</v>
      </c>
      <c r="L98" s="185">
        <f>+L87*L18%</f>
        <v>55702379.88</v>
      </c>
      <c r="M98" s="185">
        <f t="shared" si="50"/>
        <v>58582558.888000004</v>
      </c>
      <c r="N98" s="185">
        <f t="shared" si="50"/>
        <v>8441451.268000001</v>
      </c>
      <c r="O98" s="185">
        <f t="shared" si="50"/>
        <v>41199000.551</v>
      </c>
      <c r="P98" s="185">
        <f t="shared" si="50"/>
        <v>40245537.99</v>
      </c>
      <c r="Q98" s="185">
        <f>+Q87*Q18%</f>
        <v>39272679.363</v>
      </c>
      <c r="R98" s="185">
        <f t="shared" si="50"/>
        <v>25686600</v>
      </c>
      <c r="S98" s="185">
        <f t="shared" si="50"/>
        <v>8468464.92</v>
      </c>
      <c r="T98" s="185">
        <f t="shared" si="50"/>
        <v>21155642.074</v>
      </c>
      <c r="U98" s="185">
        <f>+U87*U18%</f>
        <v>1753009.775</v>
      </c>
      <c r="V98" s="185">
        <f t="shared" si="50"/>
        <v>17948811.654</v>
      </c>
      <c r="W98" s="185">
        <f t="shared" si="50"/>
        <v>1920589.65</v>
      </c>
      <c r="X98" s="185">
        <f>+X87*X18%</f>
        <v>22924894.476999998</v>
      </c>
      <c r="Y98" s="185">
        <f>+Y87*Y18%</f>
        <v>14896122.8</v>
      </c>
      <c r="Z98" s="185">
        <f t="shared" si="50"/>
        <v>15379826.735000001</v>
      </c>
      <c r="AA98" s="185">
        <f t="shared" si="50"/>
        <v>16517529.6</v>
      </c>
      <c r="AB98" s="185">
        <f t="shared" si="50"/>
        <v>11715901.638</v>
      </c>
      <c r="AC98" s="185">
        <f t="shared" si="50"/>
        <v>12469515.168000001</v>
      </c>
      <c r="AD98" s="185">
        <f>+AD87*AD18%</f>
        <v>8540760.684</v>
      </c>
      <c r="AE98" s="185">
        <f t="shared" si="50"/>
        <v>6660764.258</v>
      </c>
      <c r="AF98" s="185">
        <f>+AF87*AF18%</f>
        <v>4963058.2</v>
      </c>
      <c r="AG98" s="185">
        <f t="shared" si="50"/>
        <v>3241576.188</v>
      </c>
      <c r="AH98" s="185">
        <f aca="true" t="shared" si="51" ref="AH98:AP98">+AH87*AH18%</f>
        <v>220344.15099999995</v>
      </c>
      <c r="AI98" s="185">
        <f t="shared" si="51"/>
        <v>1729715.8939999999</v>
      </c>
      <c r="AJ98" s="185">
        <f>+AJ87*AJ18%</f>
        <v>1657220.0630000003</v>
      </c>
      <c r="AK98" s="185">
        <f t="shared" si="51"/>
        <v>605826.903</v>
      </c>
      <c r="AL98" s="185">
        <f t="shared" si="51"/>
        <v>946360.48</v>
      </c>
      <c r="AM98" s="185">
        <f t="shared" si="51"/>
        <v>757438.554</v>
      </c>
      <c r="AN98" s="185">
        <f t="shared" si="51"/>
        <v>455019.825</v>
      </c>
      <c r="AO98" s="185">
        <f t="shared" si="51"/>
        <v>428681</v>
      </c>
      <c r="AP98" s="185">
        <f t="shared" si="51"/>
        <v>420491.13999999996</v>
      </c>
      <c r="AQ98" s="185">
        <f t="shared" si="50"/>
        <v>171851</v>
      </c>
      <c r="AR98" s="185">
        <f t="shared" si="50"/>
        <v>1377</v>
      </c>
      <c r="AS98" s="185">
        <f t="shared" si="50"/>
        <v>22327</v>
      </c>
      <c r="AT98" s="248"/>
      <c r="AU98" s="248">
        <f>SUM(C98:AS98)</f>
        <v>1110891026.6920002</v>
      </c>
      <c r="AV98" s="248"/>
      <c r="AW98" s="209">
        <f>SUMIF($C$60:$AS$60,"já",C98:AS98)</f>
        <v>206455312.23299995</v>
      </c>
      <c r="AX98" s="209">
        <f>SUMIF($C$60:$AS$60,"Nei",C98:AS98)</f>
        <v>904435714.459</v>
      </c>
      <c r="AY98" s="27"/>
    </row>
    <row r="99" spans="1:236" ht="12.75" customHeight="1">
      <c r="A99" s="164" t="s">
        <v>245</v>
      </c>
      <c r="B99" s="140"/>
      <c r="C99" s="289">
        <f aca="true" t="shared" si="52" ref="C99:AS99">+C87*C19%</f>
        <v>32651522.046</v>
      </c>
      <c r="D99" s="289">
        <f t="shared" si="52"/>
        <v>59716746.628</v>
      </c>
      <c r="E99" s="289">
        <f t="shared" si="52"/>
        <v>82397880.18</v>
      </c>
      <c r="F99" s="289">
        <f t="shared" si="52"/>
        <v>29407242.41</v>
      </c>
      <c r="G99" s="289">
        <f t="shared" si="52"/>
        <v>0</v>
      </c>
      <c r="H99" s="289">
        <f t="shared" si="52"/>
        <v>29594830.102999996</v>
      </c>
      <c r="I99" s="289">
        <f t="shared" si="52"/>
        <v>7545541.899999999</v>
      </c>
      <c r="J99" s="289">
        <f t="shared" si="52"/>
        <v>71111.204</v>
      </c>
      <c r="K99" s="289">
        <f t="shared" si="52"/>
        <v>2158876.608</v>
      </c>
      <c r="L99" s="289">
        <f>+L87*L19%</f>
        <v>32714096.12</v>
      </c>
      <c r="M99" s="289">
        <f t="shared" si="52"/>
        <v>18096183.112</v>
      </c>
      <c r="N99" s="289">
        <f t="shared" si="52"/>
        <v>3757177.732</v>
      </c>
      <c r="O99" s="289">
        <f t="shared" si="52"/>
        <v>13225042.449</v>
      </c>
      <c r="P99" s="289">
        <f t="shared" si="52"/>
        <v>14510296.010000002</v>
      </c>
      <c r="Q99" s="289">
        <f>+Q87*Q19%</f>
        <v>679181.6370000001</v>
      </c>
      <c r="R99" s="289">
        <f t="shared" si="52"/>
        <v>0</v>
      </c>
      <c r="S99" s="289">
        <f t="shared" si="52"/>
        <v>2674252.08</v>
      </c>
      <c r="T99" s="289">
        <f t="shared" si="52"/>
        <v>7356004.926</v>
      </c>
      <c r="U99" s="289">
        <f>+U87*U19%</f>
        <v>625565.225</v>
      </c>
      <c r="V99" s="289">
        <f t="shared" si="52"/>
        <v>6372071.346</v>
      </c>
      <c r="W99" s="289">
        <f t="shared" si="52"/>
        <v>681835.35</v>
      </c>
      <c r="X99" s="289">
        <f>+X87*X19%</f>
        <v>3950714.5229999996</v>
      </c>
      <c r="Y99" s="289">
        <f>+Y87*Y19%</f>
        <v>8020989.199999999</v>
      </c>
      <c r="Z99" s="289">
        <f t="shared" si="52"/>
        <v>7747732.265000001</v>
      </c>
      <c r="AA99" s="289">
        <f t="shared" si="52"/>
        <v>4989670.399999999</v>
      </c>
      <c r="AB99" s="289">
        <f t="shared" si="52"/>
        <v>3659297.362</v>
      </c>
      <c r="AC99" s="289">
        <f t="shared" si="52"/>
        <v>267476.832</v>
      </c>
      <c r="AD99" s="289">
        <f>+AD87*AD19%</f>
        <v>1483606.316</v>
      </c>
      <c r="AE99" s="289">
        <f t="shared" si="52"/>
        <v>177802.74200000003</v>
      </c>
      <c r="AF99" s="289">
        <f>+AF87*AF19%</f>
        <v>875833.7999999999</v>
      </c>
      <c r="AG99" s="289">
        <f t="shared" si="52"/>
        <v>645205.812</v>
      </c>
      <c r="AH99" s="289">
        <f aca="true" t="shared" si="53" ref="AH99:AP99">+AH87*AH19%</f>
        <v>73056.849</v>
      </c>
      <c r="AI99" s="289">
        <f t="shared" si="53"/>
        <v>748387.106</v>
      </c>
      <c r="AJ99" s="289">
        <f>+AJ87*AJ19%</f>
        <v>585296.937</v>
      </c>
      <c r="AK99" s="289">
        <f t="shared" si="53"/>
        <v>198724.097</v>
      </c>
      <c r="AL99" s="289">
        <f t="shared" si="53"/>
        <v>178919.52</v>
      </c>
      <c r="AM99" s="289">
        <f t="shared" si="53"/>
        <v>5339.445999999999</v>
      </c>
      <c r="AN99" s="289">
        <f t="shared" si="53"/>
        <v>11667.175000000001</v>
      </c>
      <c r="AO99" s="289">
        <f t="shared" si="53"/>
        <v>0</v>
      </c>
      <c r="AP99" s="289">
        <f t="shared" si="53"/>
        <v>26839.86</v>
      </c>
      <c r="AQ99" s="289">
        <f t="shared" si="52"/>
        <v>0</v>
      </c>
      <c r="AR99" s="289">
        <f t="shared" si="52"/>
        <v>0</v>
      </c>
      <c r="AS99" s="289">
        <f t="shared" si="52"/>
        <v>0</v>
      </c>
      <c r="AT99" s="164"/>
      <c r="AU99" s="291">
        <f>SUM(C99:AS99)</f>
        <v>377882017.3079999</v>
      </c>
      <c r="AV99" s="194"/>
      <c r="AW99" s="289">
        <f>SUMIF($C$60:$AS$60,"já",C99:AS99)</f>
        <v>70947131.767</v>
      </c>
      <c r="AX99" s="289">
        <f>SUMIF($C$60:$AS$60,"Nei",C99:AS99)</f>
        <v>306934885.54099995</v>
      </c>
      <c r="AY99" s="27"/>
      <c r="AZ99" s="19"/>
      <c r="BA99" s="19"/>
      <c r="BB99" s="19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</row>
    <row r="100" spans="1:51" ht="12.75" customHeight="1">
      <c r="A100" s="164" t="s">
        <v>182</v>
      </c>
      <c r="B100" s="140"/>
      <c r="C100" s="248">
        <f aca="true" t="shared" si="54" ref="C100:AS100">SUM(C98:C99)</f>
        <v>103985739</v>
      </c>
      <c r="D100" s="248">
        <f t="shared" si="54"/>
        <v>193885541</v>
      </c>
      <c r="E100" s="248">
        <f t="shared" si="54"/>
        <v>254314445</v>
      </c>
      <c r="F100" s="248">
        <f t="shared" si="54"/>
        <v>226209557</v>
      </c>
      <c r="G100" s="248">
        <f t="shared" si="54"/>
        <v>0</v>
      </c>
      <c r="H100" s="248">
        <f t="shared" si="54"/>
        <v>91624861</v>
      </c>
      <c r="I100" s="248">
        <f t="shared" si="54"/>
        <v>26019109.999999996</v>
      </c>
      <c r="J100" s="248">
        <f t="shared" si="54"/>
        <v>4183012</v>
      </c>
      <c r="K100" s="248">
        <f t="shared" si="54"/>
        <v>9109184</v>
      </c>
      <c r="L100" s="248">
        <f>SUM(L98:L99)</f>
        <v>88416476</v>
      </c>
      <c r="M100" s="248">
        <f t="shared" si="54"/>
        <v>76678742</v>
      </c>
      <c r="N100" s="248">
        <f t="shared" si="54"/>
        <v>12198629</v>
      </c>
      <c r="O100" s="248">
        <f t="shared" si="54"/>
        <v>54424043</v>
      </c>
      <c r="P100" s="248">
        <f t="shared" si="54"/>
        <v>54755834</v>
      </c>
      <c r="Q100" s="248">
        <f>SUM(Q98:Q99)</f>
        <v>39951861</v>
      </c>
      <c r="R100" s="248">
        <f t="shared" si="54"/>
        <v>25686600</v>
      </c>
      <c r="S100" s="248">
        <f t="shared" si="54"/>
        <v>11142717</v>
      </c>
      <c r="T100" s="248">
        <f t="shared" si="54"/>
        <v>28511647</v>
      </c>
      <c r="U100" s="248">
        <f>SUM(U98:U99)</f>
        <v>2378575</v>
      </c>
      <c r="V100" s="248">
        <f t="shared" si="54"/>
        <v>24320883</v>
      </c>
      <c r="W100" s="248">
        <f t="shared" si="54"/>
        <v>2602425</v>
      </c>
      <c r="X100" s="248">
        <f>SUM(X98:X99)</f>
        <v>26875608.999999996</v>
      </c>
      <c r="Y100" s="248">
        <f>SUM(Y98:Y99)</f>
        <v>22917112</v>
      </c>
      <c r="Z100" s="248">
        <f t="shared" si="54"/>
        <v>23127559</v>
      </c>
      <c r="AA100" s="248">
        <f t="shared" si="54"/>
        <v>21507200</v>
      </c>
      <c r="AB100" s="248">
        <f t="shared" si="54"/>
        <v>15375199</v>
      </c>
      <c r="AC100" s="248">
        <f t="shared" si="54"/>
        <v>12736992.000000002</v>
      </c>
      <c r="AD100" s="248">
        <f>SUM(AD98:AD99)</f>
        <v>10024367</v>
      </c>
      <c r="AE100" s="248">
        <f t="shared" si="54"/>
        <v>6838567</v>
      </c>
      <c r="AF100" s="248">
        <f>SUM(AF98:AF99)</f>
        <v>5838892</v>
      </c>
      <c r="AG100" s="248">
        <f t="shared" si="54"/>
        <v>3886782</v>
      </c>
      <c r="AH100" s="248">
        <f aca="true" t="shared" si="55" ref="AH100:AP100">SUM(AH98:AH99)</f>
        <v>293400.99999999994</v>
      </c>
      <c r="AI100" s="248">
        <f t="shared" si="55"/>
        <v>2478103</v>
      </c>
      <c r="AJ100" s="248">
        <f>SUM(AJ98:AJ99)</f>
        <v>2242517.0000000005</v>
      </c>
      <c r="AK100" s="248">
        <f t="shared" si="55"/>
        <v>804551</v>
      </c>
      <c r="AL100" s="248">
        <f t="shared" si="55"/>
        <v>1125280</v>
      </c>
      <c r="AM100" s="248">
        <f t="shared" si="55"/>
        <v>762778</v>
      </c>
      <c r="AN100" s="248">
        <f t="shared" si="55"/>
        <v>466687</v>
      </c>
      <c r="AO100" s="248">
        <f t="shared" si="55"/>
        <v>428681</v>
      </c>
      <c r="AP100" s="248">
        <f t="shared" si="55"/>
        <v>447330.99999999994</v>
      </c>
      <c r="AQ100" s="248">
        <f t="shared" si="54"/>
        <v>171851</v>
      </c>
      <c r="AR100" s="248">
        <f t="shared" si="54"/>
        <v>1377</v>
      </c>
      <c r="AS100" s="248">
        <f t="shared" si="54"/>
        <v>22327</v>
      </c>
      <c r="AT100" s="294"/>
      <c r="AU100" s="295">
        <f>SUM(AU98:AU99)</f>
        <v>1488773044</v>
      </c>
      <c r="AV100" s="294"/>
      <c r="AW100" s="248">
        <f>SUM(AW98:AW99)</f>
        <v>277402443.99999994</v>
      </c>
      <c r="AX100" s="248">
        <f>SUM(AX98:AX99)</f>
        <v>1211370600</v>
      </c>
      <c r="AY100" s="27"/>
    </row>
    <row r="101" spans="1:51" ht="12.75" customHeight="1" thickBot="1">
      <c r="A101" s="292"/>
      <c r="B101" s="293"/>
      <c r="C101" s="296">
        <f aca="true" t="shared" si="56" ref="C101:AS101">+C100-C87</f>
        <v>0</v>
      </c>
      <c r="D101" s="296">
        <f t="shared" si="56"/>
        <v>0</v>
      </c>
      <c r="E101" s="296">
        <f t="shared" si="56"/>
        <v>0</v>
      </c>
      <c r="F101" s="296">
        <f t="shared" si="56"/>
        <v>0</v>
      </c>
      <c r="G101" s="296">
        <f t="shared" si="56"/>
        <v>0</v>
      </c>
      <c r="H101" s="296">
        <f t="shared" si="56"/>
        <v>0</v>
      </c>
      <c r="I101" s="296">
        <f t="shared" si="56"/>
        <v>0</v>
      </c>
      <c r="J101" s="296">
        <f t="shared" si="56"/>
        <v>0</v>
      </c>
      <c r="K101" s="296">
        <f t="shared" si="56"/>
        <v>0</v>
      </c>
      <c r="L101" s="296">
        <f>+L100-L87</f>
        <v>0</v>
      </c>
      <c r="M101" s="296">
        <f t="shared" si="56"/>
        <v>0</v>
      </c>
      <c r="N101" s="296">
        <f t="shared" si="56"/>
        <v>0</v>
      </c>
      <c r="O101" s="296">
        <f t="shared" si="56"/>
        <v>0</v>
      </c>
      <c r="P101" s="296">
        <f t="shared" si="56"/>
        <v>0</v>
      </c>
      <c r="Q101" s="296">
        <f>+Q100-Q87</f>
        <v>0</v>
      </c>
      <c r="R101" s="296">
        <f t="shared" si="56"/>
        <v>0</v>
      </c>
      <c r="S101" s="296">
        <f t="shared" si="56"/>
        <v>0</v>
      </c>
      <c r="T101" s="296">
        <f t="shared" si="56"/>
        <v>0</v>
      </c>
      <c r="U101" s="296">
        <f>+U100-U87</f>
        <v>0</v>
      </c>
      <c r="V101" s="296">
        <f t="shared" si="56"/>
        <v>0</v>
      </c>
      <c r="W101" s="296">
        <f t="shared" si="56"/>
        <v>0</v>
      </c>
      <c r="X101" s="296">
        <f>+X100-X87</f>
        <v>0</v>
      </c>
      <c r="Y101" s="296">
        <f>+Y100-Y87</f>
        <v>0</v>
      </c>
      <c r="Z101" s="296">
        <f t="shared" si="56"/>
        <v>0</v>
      </c>
      <c r="AA101" s="296">
        <f t="shared" si="56"/>
        <v>0</v>
      </c>
      <c r="AB101" s="296">
        <f t="shared" si="56"/>
        <v>0</v>
      </c>
      <c r="AC101" s="296">
        <f t="shared" si="56"/>
        <v>0</v>
      </c>
      <c r="AD101" s="296">
        <f>+AD100-AD87</f>
        <v>0</v>
      </c>
      <c r="AE101" s="296">
        <f t="shared" si="56"/>
        <v>0</v>
      </c>
      <c r="AF101" s="296">
        <f>+AF100-AF87</f>
        <v>0</v>
      </c>
      <c r="AG101" s="296">
        <f t="shared" si="56"/>
        <v>0</v>
      </c>
      <c r="AH101" s="296">
        <f aca="true" t="shared" si="57" ref="AH101:AP101">+AH100-AH87</f>
        <v>0</v>
      </c>
      <c r="AI101" s="296">
        <f t="shared" si="57"/>
        <v>0</v>
      </c>
      <c r="AJ101" s="296">
        <f>+AJ100-AJ87</f>
        <v>0</v>
      </c>
      <c r="AK101" s="296">
        <f t="shared" si="57"/>
        <v>0</v>
      </c>
      <c r="AL101" s="296">
        <f t="shared" si="57"/>
        <v>0</v>
      </c>
      <c r="AM101" s="296">
        <f t="shared" si="57"/>
        <v>0</v>
      </c>
      <c r="AN101" s="296">
        <f t="shared" si="57"/>
        <v>0</v>
      </c>
      <c r="AO101" s="296">
        <f t="shared" si="57"/>
        <v>0</v>
      </c>
      <c r="AP101" s="296">
        <f t="shared" si="57"/>
        <v>0</v>
      </c>
      <c r="AQ101" s="296">
        <f t="shared" si="56"/>
        <v>0</v>
      </c>
      <c r="AR101" s="296">
        <f t="shared" si="56"/>
        <v>0</v>
      </c>
      <c r="AS101" s="296">
        <f t="shared" si="56"/>
        <v>0</v>
      </c>
      <c r="AT101" s="297"/>
      <c r="AU101" s="296">
        <f>+AU100-'4.1. Samtryggingard.'!AU86</f>
        <v>0</v>
      </c>
      <c r="AV101" s="296"/>
      <c r="AW101" s="296">
        <f>+AW100-'4.1. Samtryggingard.'!AW86</f>
        <v>0</v>
      </c>
      <c r="AX101" s="296">
        <f>+AX100-'4.1. Samtryggingard.'!AX86</f>
        <v>0</v>
      </c>
      <c r="AY101" s="27"/>
    </row>
    <row r="102" spans="3:51" ht="12.75" customHeight="1"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27"/>
    </row>
    <row r="103" spans="3:51" ht="12.75" customHeight="1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27"/>
    </row>
    <row r="104" spans="3:51" ht="12.75" customHeight="1"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27"/>
    </row>
    <row r="105" spans="3:51" ht="12.75" customHeight="1">
      <c r="C105" s="38"/>
      <c r="D105" s="38"/>
      <c r="E105" s="38"/>
      <c r="F105" s="19"/>
      <c r="G105" s="38"/>
      <c r="H105" s="38"/>
      <c r="I105" s="38"/>
      <c r="J105" s="38"/>
      <c r="K105" s="38"/>
      <c r="L105" s="19"/>
      <c r="M105" s="38"/>
      <c r="N105" s="38"/>
      <c r="O105" s="38"/>
      <c r="P105" s="38"/>
      <c r="Q105" s="38"/>
      <c r="R105" s="38"/>
      <c r="S105" s="38"/>
      <c r="T105" s="19"/>
      <c r="U105" s="19"/>
      <c r="V105" s="38"/>
      <c r="W105" s="38"/>
      <c r="X105" s="38"/>
      <c r="Y105" s="19"/>
      <c r="Z105" s="38"/>
      <c r="AA105" s="38"/>
      <c r="AB105" s="38"/>
      <c r="AC105" s="38"/>
      <c r="AD105" s="38"/>
      <c r="AE105" s="38"/>
      <c r="AF105" s="19"/>
      <c r="AG105" s="19"/>
      <c r="AH105" s="38"/>
      <c r="AI105" s="38"/>
      <c r="AJ105" s="19"/>
      <c r="AK105" s="38"/>
      <c r="AL105" s="19"/>
      <c r="AM105" s="38"/>
      <c r="AN105" s="38"/>
      <c r="AO105" s="38"/>
      <c r="AP105" s="38"/>
      <c r="AQ105" s="38"/>
      <c r="AR105" s="38"/>
      <c r="AS105" s="38"/>
      <c r="AU105" s="19"/>
      <c r="AV105" s="19"/>
      <c r="AW105" s="19"/>
      <c r="AX105" s="19"/>
      <c r="AY105" s="27"/>
    </row>
  </sheetData>
  <sheetProtection/>
  <mergeCells count="44">
    <mergeCell ref="I39:J39"/>
    <mergeCell ref="C4:D4"/>
    <mergeCell ref="V4:W4"/>
    <mergeCell ref="AS1:AS3"/>
    <mergeCell ref="I1:K1"/>
    <mergeCell ref="AB1:AB3"/>
    <mergeCell ref="AK1:AK3"/>
    <mergeCell ref="AM1:AM3"/>
    <mergeCell ref="AL1:AL3"/>
    <mergeCell ref="L1:L3"/>
    <mergeCell ref="R4:S4"/>
    <mergeCell ref="AH1:AH3"/>
    <mergeCell ref="T1:T3"/>
    <mergeCell ref="AD1:AD3"/>
    <mergeCell ref="Z1:Z3"/>
    <mergeCell ref="I4:K4"/>
    <mergeCell ref="AE1:AE3"/>
    <mergeCell ref="C1:D1"/>
    <mergeCell ref="V1:W1"/>
    <mergeCell ref="P1:P3"/>
    <mergeCell ref="N1:N3"/>
    <mergeCell ref="E1:E3"/>
    <mergeCell ref="X1:X3"/>
    <mergeCell ref="M1:M3"/>
    <mergeCell ref="Q1:Q3"/>
    <mergeCell ref="F1:F3"/>
    <mergeCell ref="U1:U3"/>
    <mergeCell ref="G1:H1"/>
    <mergeCell ref="AG1:AG3"/>
    <mergeCell ref="AR1:AR3"/>
    <mergeCell ref="I38:K38"/>
    <mergeCell ref="Y1:Y3"/>
    <mergeCell ref="AO1:AO3"/>
    <mergeCell ref="AN1:AN3"/>
    <mergeCell ref="AP1:AP3"/>
    <mergeCell ref="AQ1:AQ3"/>
    <mergeCell ref="G4:H4"/>
    <mergeCell ref="AJ1:AJ3"/>
    <mergeCell ref="O1:O3"/>
    <mergeCell ref="AF1:AF3"/>
    <mergeCell ref="AC1:AC3"/>
    <mergeCell ref="R1:S1"/>
    <mergeCell ref="AA1:AA3"/>
    <mergeCell ref="AI1:AI3"/>
  </mergeCells>
  <printOptions/>
  <pageMargins left="0.4724409448818898" right="0.2755905511811024" top="1.1811023622047245" bottom="0.2755905511811024" header="0.5118110236220472" footer="0.1968503937007874"/>
  <pageSetup firstPageNumber="38" useFirstPageNumber="1" horizontalDpi="600" verticalDpi="600" orientation="portrait" paperSize="9" scale="96" r:id="rId1"/>
  <headerFooter alignWithMargins="0">
    <oddHeader>&amp;C&amp;"Times New Roman,Bold"&amp;12 4.2. KENNITÖLUR SAMTRYGGINGARDEILDA ÁRIÐ 2007</oddHeader>
    <oddFooter>&amp;R&amp;"Times New Roman,Regular"&amp;P</oddFooter>
  </headerFooter>
  <colBreaks count="2" manualBreakCount="2">
    <brk id="8" max="57" man="1"/>
    <brk id="21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U230"/>
  <sheetViews>
    <sheetView zoomScaleSheetLayoutView="100" workbookViewId="0" topLeftCell="AK1">
      <selection activeCell="AU47" sqref="AU47"/>
    </sheetView>
  </sheetViews>
  <sheetFormatPr defaultColWidth="8.8515625" defaultRowHeight="11.25" customHeight="1" outlineLevelRow="1"/>
  <cols>
    <col min="1" max="1" width="24.00390625" style="25" customWidth="1"/>
    <col min="2" max="2" width="0.9921875" style="25" customWidth="1"/>
    <col min="3" max="5" width="9.28125" style="25" customWidth="1"/>
    <col min="6" max="6" width="10.28125" style="25" customWidth="1"/>
    <col min="7" max="15" width="9.28125" style="25" customWidth="1"/>
    <col min="16" max="19" width="8.140625" style="25" customWidth="1"/>
    <col min="20" max="21" width="9.28125" style="25" customWidth="1"/>
    <col min="22" max="25" width="8.140625" style="25" customWidth="1"/>
    <col min="26" max="26" width="7.28125" style="25" customWidth="1"/>
    <col min="27" max="33" width="9.28125" style="25" customWidth="1"/>
    <col min="34" max="37" width="8.28125" style="25" customWidth="1"/>
    <col min="38" max="40" width="9.28125" style="25" customWidth="1"/>
    <col min="41" max="41" width="9.57421875" style="25" customWidth="1"/>
    <col min="42" max="42" width="8.28125" style="25" customWidth="1"/>
    <col min="43" max="43" width="9.140625" style="25" customWidth="1"/>
    <col min="44" max="44" width="10.28125" style="25" customWidth="1"/>
    <col min="45" max="45" width="3.7109375" style="25" customWidth="1"/>
    <col min="46" max="46" width="9.28125" style="25" customWidth="1"/>
    <col min="47" max="50" width="9.140625" style="25" customWidth="1"/>
    <col min="51" max="16384" width="8.8515625" style="25" customWidth="1"/>
  </cols>
  <sheetData>
    <row r="1" spans="1:46" s="22" customFormat="1" ht="11.25" customHeight="1">
      <c r="A1" s="170"/>
      <c r="B1" s="170"/>
      <c r="C1" s="488" t="s">
        <v>247</v>
      </c>
      <c r="D1" s="488"/>
      <c r="E1" s="488"/>
      <c r="F1" s="489" t="s">
        <v>170</v>
      </c>
      <c r="G1" s="488" t="s">
        <v>25</v>
      </c>
      <c r="H1" s="488"/>
      <c r="I1" s="488"/>
      <c r="J1" s="488" t="s">
        <v>0</v>
      </c>
      <c r="K1" s="488"/>
      <c r="L1" s="488"/>
      <c r="M1" s="488"/>
      <c r="N1" s="488"/>
      <c r="O1" s="488"/>
      <c r="P1" s="488" t="s">
        <v>23</v>
      </c>
      <c r="Q1" s="488"/>
      <c r="R1" s="488"/>
      <c r="S1" s="488"/>
      <c r="T1" s="488" t="s">
        <v>547</v>
      </c>
      <c r="U1" s="488"/>
      <c r="V1" s="488" t="s">
        <v>31</v>
      </c>
      <c r="W1" s="488"/>
      <c r="X1" s="488"/>
      <c r="Y1" s="488"/>
      <c r="Z1" s="488"/>
      <c r="AA1" s="488" t="s">
        <v>246</v>
      </c>
      <c r="AB1" s="488"/>
      <c r="AC1" s="488"/>
      <c r="AD1" s="489" t="s">
        <v>2</v>
      </c>
      <c r="AE1" s="486" t="s">
        <v>24</v>
      </c>
      <c r="AF1" s="488" t="s">
        <v>29</v>
      </c>
      <c r="AG1" s="488"/>
      <c r="AH1" s="488" t="s">
        <v>26</v>
      </c>
      <c r="AI1" s="488"/>
      <c r="AJ1" s="488"/>
      <c r="AK1" s="488"/>
      <c r="AL1" s="488" t="s">
        <v>432</v>
      </c>
      <c r="AM1" s="488"/>
      <c r="AN1" s="488"/>
      <c r="AO1" s="486" t="s">
        <v>30</v>
      </c>
      <c r="AP1" s="488" t="s">
        <v>521</v>
      </c>
      <c r="AQ1" s="488"/>
      <c r="AR1" s="489" t="s">
        <v>169</v>
      </c>
      <c r="AS1" s="170"/>
      <c r="AT1" s="487" t="s">
        <v>250</v>
      </c>
    </row>
    <row r="2" spans="1:46" s="22" customFormat="1" ht="11.25" customHeight="1">
      <c r="A2" s="170"/>
      <c r="B2" s="170"/>
      <c r="C2" s="299"/>
      <c r="D2" s="299"/>
      <c r="E2" s="299"/>
      <c r="F2" s="48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489"/>
      <c r="AE2" s="486"/>
      <c r="AF2" s="299"/>
      <c r="AG2" s="299"/>
      <c r="AH2" s="299"/>
      <c r="AI2" s="299"/>
      <c r="AJ2" s="299"/>
      <c r="AK2" s="299"/>
      <c r="AL2" s="299"/>
      <c r="AM2" s="299"/>
      <c r="AN2" s="299"/>
      <c r="AO2" s="486"/>
      <c r="AP2" s="299"/>
      <c r="AQ2" s="299"/>
      <c r="AR2" s="489"/>
      <c r="AS2" s="170"/>
      <c r="AT2" s="487"/>
    </row>
    <row r="3" spans="1:46" s="30" customFormat="1" ht="11.25" customHeight="1">
      <c r="A3" s="200"/>
      <c r="B3" s="200"/>
      <c r="C3" s="200"/>
      <c r="D3" s="200"/>
      <c r="E3" s="200"/>
      <c r="F3" s="490" t="s">
        <v>270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490" t="s">
        <v>270</v>
      </c>
      <c r="AE3" s="486"/>
      <c r="AF3" s="200"/>
      <c r="AG3" s="200"/>
      <c r="AH3" s="200"/>
      <c r="AI3" s="200"/>
      <c r="AJ3" s="200"/>
      <c r="AK3" s="200"/>
      <c r="AL3" s="200"/>
      <c r="AM3" s="200"/>
      <c r="AN3" s="200"/>
      <c r="AO3" s="486"/>
      <c r="AP3" s="200"/>
      <c r="AQ3" s="200"/>
      <c r="AR3" s="490"/>
      <c r="AS3" s="200"/>
      <c r="AT3" s="487"/>
    </row>
    <row r="4" spans="1:46" s="30" customFormat="1" ht="11.25" customHeight="1">
      <c r="A4" s="174" t="s">
        <v>8</v>
      </c>
      <c r="B4" s="200"/>
      <c r="C4" s="484" t="s">
        <v>481</v>
      </c>
      <c r="D4" s="484"/>
      <c r="E4" s="484"/>
      <c r="F4" s="175" t="s">
        <v>511</v>
      </c>
      <c r="G4" s="484" t="s">
        <v>491</v>
      </c>
      <c r="H4" s="484"/>
      <c r="I4" s="484"/>
      <c r="J4" s="484" t="s">
        <v>515</v>
      </c>
      <c r="K4" s="484"/>
      <c r="L4" s="484"/>
      <c r="M4" s="484"/>
      <c r="N4" s="484"/>
      <c r="O4" s="484"/>
      <c r="P4" s="484" t="s">
        <v>482</v>
      </c>
      <c r="Q4" s="484"/>
      <c r="R4" s="484"/>
      <c r="S4" s="484"/>
      <c r="T4" s="484" t="s">
        <v>517</v>
      </c>
      <c r="U4" s="484"/>
      <c r="V4" s="484" t="s">
        <v>490</v>
      </c>
      <c r="W4" s="484"/>
      <c r="X4" s="484"/>
      <c r="Y4" s="484"/>
      <c r="Z4" s="484"/>
      <c r="AA4" s="484" t="s">
        <v>501</v>
      </c>
      <c r="AB4" s="484"/>
      <c r="AC4" s="484"/>
      <c r="AD4" s="175" t="s">
        <v>516</v>
      </c>
      <c r="AE4" s="175" t="s">
        <v>489</v>
      </c>
      <c r="AF4" s="484" t="s">
        <v>496</v>
      </c>
      <c r="AG4" s="484"/>
      <c r="AH4" s="484" t="s">
        <v>494</v>
      </c>
      <c r="AI4" s="484"/>
      <c r="AJ4" s="484"/>
      <c r="AK4" s="484"/>
      <c r="AL4" s="484" t="s">
        <v>510</v>
      </c>
      <c r="AM4" s="484"/>
      <c r="AN4" s="484"/>
      <c r="AO4" s="175" t="s">
        <v>512</v>
      </c>
      <c r="AP4" s="484" t="s">
        <v>508</v>
      </c>
      <c r="AQ4" s="484"/>
      <c r="AR4" s="175" t="s">
        <v>492</v>
      </c>
      <c r="AS4" s="200"/>
      <c r="AT4" s="200"/>
    </row>
    <row r="5" spans="1:46" s="30" customFormat="1" ht="11.25" customHeight="1">
      <c r="A5" s="174"/>
      <c r="B5" s="200"/>
      <c r="C5" s="200" t="s">
        <v>267</v>
      </c>
      <c r="D5" s="200" t="s">
        <v>268</v>
      </c>
      <c r="E5" s="200" t="s">
        <v>269</v>
      </c>
      <c r="F5" s="301"/>
      <c r="G5" s="200" t="s">
        <v>258</v>
      </c>
      <c r="H5" s="200" t="s">
        <v>259</v>
      </c>
      <c r="I5" s="200" t="s">
        <v>260</v>
      </c>
      <c r="J5" s="200" t="s">
        <v>271</v>
      </c>
      <c r="K5" s="200" t="s">
        <v>272</v>
      </c>
      <c r="L5" s="200" t="s">
        <v>273</v>
      </c>
      <c r="M5" s="200" t="s">
        <v>274</v>
      </c>
      <c r="N5" s="200" t="s">
        <v>275</v>
      </c>
      <c r="O5" s="200" t="s">
        <v>276</v>
      </c>
      <c r="P5" s="200" t="s">
        <v>251</v>
      </c>
      <c r="Q5" s="200" t="s">
        <v>252</v>
      </c>
      <c r="R5" s="200" t="s">
        <v>253</v>
      </c>
      <c r="S5" s="200" t="s">
        <v>254</v>
      </c>
      <c r="T5" s="200" t="s">
        <v>265</v>
      </c>
      <c r="U5" s="200" t="s">
        <v>266</v>
      </c>
      <c r="V5" s="200" t="s">
        <v>267</v>
      </c>
      <c r="W5" s="200" t="s">
        <v>268</v>
      </c>
      <c r="X5" s="200" t="s">
        <v>269</v>
      </c>
      <c r="Y5" s="200" t="s">
        <v>277</v>
      </c>
      <c r="Z5" s="200" t="s">
        <v>278</v>
      </c>
      <c r="AA5" s="200" t="s">
        <v>255</v>
      </c>
      <c r="AB5" s="200" t="s">
        <v>256</v>
      </c>
      <c r="AC5" s="200" t="s">
        <v>257</v>
      </c>
      <c r="AD5" s="301"/>
      <c r="AE5" s="200"/>
      <c r="AF5" s="200" t="s">
        <v>18</v>
      </c>
      <c r="AG5" s="200" t="s">
        <v>19</v>
      </c>
      <c r="AH5" s="200" t="s">
        <v>261</v>
      </c>
      <c r="AI5" s="200" t="s">
        <v>262</v>
      </c>
      <c r="AJ5" s="200" t="s">
        <v>263</v>
      </c>
      <c r="AK5" s="200" t="s">
        <v>264</v>
      </c>
      <c r="AL5" s="200" t="s">
        <v>267</v>
      </c>
      <c r="AM5" s="200" t="s">
        <v>268</v>
      </c>
      <c r="AN5" s="200" t="s">
        <v>269</v>
      </c>
      <c r="AO5" s="300"/>
      <c r="AP5" s="200" t="s">
        <v>265</v>
      </c>
      <c r="AQ5" s="200" t="s">
        <v>266</v>
      </c>
      <c r="AR5" s="301"/>
      <c r="AS5" s="200"/>
      <c r="AT5" s="221" t="str">
        <f>CONCATENATE(AT162," deildir")</f>
        <v>42 deildir</v>
      </c>
    </row>
    <row r="6" spans="1:46" ht="16.5" customHeight="1">
      <c r="A6" s="204" t="s">
        <v>279</v>
      </c>
      <c r="B6" s="205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178"/>
      <c r="AT6" s="210"/>
    </row>
    <row r="7" spans="1:46" ht="16.5" customHeight="1">
      <c r="A7" s="204" t="s">
        <v>39</v>
      </c>
      <c r="B7" s="205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78"/>
      <c r="AT7" s="178"/>
    </row>
    <row r="8" spans="1:46" ht="11.25" customHeight="1" hidden="1" outlineLevel="1">
      <c r="A8" s="176" t="s">
        <v>40</v>
      </c>
      <c r="B8" s="176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78"/>
      <c r="AT8" s="303"/>
    </row>
    <row r="9" spans="1:46" ht="11.25" customHeight="1" hidden="1" outlineLevel="1">
      <c r="A9" s="174" t="s">
        <v>41</v>
      </c>
      <c r="B9" s="174"/>
      <c r="C9" s="304">
        <v>335257</v>
      </c>
      <c r="D9" s="304">
        <v>138692</v>
      </c>
      <c r="E9" s="304">
        <v>34240</v>
      </c>
      <c r="F9" s="304">
        <v>224965</v>
      </c>
      <c r="G9" s="304">
        <v>59356</v>
      </c>
      <c r="H9" s="304">
        <v>67005</v>
      </c>
      <c r="I9" s="304">
        <v>1775</v>
      </c>
      <c r="J9" s="304">
        <v>11040</v>
      </c>
      <c r="K9" s="304">
        <v>19624</v>
      </c>
      <c r="L9" s="304">
        <v>9180</v>
      </c>
      <c r="M9" s="304">
        <v>3183</v>
      </c>
      <c r="N9" s="304">
        <v>16590</v>
      </c>
      <c r="O9" s="304">
        <v>152020</v>
      </c>
      <c r="P9" s="304">
        <v>1030887</v>
      </c>
      <c r="Q9" s="304">
        <v>1011917</v>
      </c>
      <c r="R9" s="304">
        <v>144872</v>
      </c>
      <c r="S9" s="304">
        <v>24309</v>
      </c>
      <c r="T9" s="304">
        <v>26714</v>
      </c>
      <c r="U9" s="304">
        <v>85063</v>
      </c>
      <c r="V9" s="304">
        <v>1840</v>
      </c>
      <c r="W9" s="304">
        <v>65699</v>
      </c>
      <c r="X9" s="304">
        <v>4505</v>
      </c>
      <c r="Y9" s="304">
        <v>12674</v>
      </c>
      <c r="Z9" s="304">
        <v>45988</v>
      </c>
      <c r="AA9" s="304">
        <v>1524421</v>
      </c>
      <c r="AB9" s="304">
        <v>91657</v>
      </c>
      <c r="AC9" s="304">
        <v>103260</v>
      </c>
      <c r="AD9" s="304">
        <v>23084</v>
      </c>
      <c r="AE9" s="304">
        <v>5583</v>
      </c>
      <c r="AF9" s="304">
        <v>110457</v>
      </c>
      <c r="AG9" s="304">
        <v>7432</v>
      </c>
      <c r="AH9" s="304">
        <v>1305976</v>
      </c>
      <c r="AI9" s="304">
        <v>420156</v>
      </c>
      <c r="AJ9" s="304">
        <v>192804</v>
      </c>
      <c r="AK9" s="304">
        <v>249996</v>
      </c>
      <c r="AL9" s="304">
        <v>80652</v>
      </c>
      <c r="AM9" s="304">
        <v>16903</v>
      </c>
      <c r="AN9" s="304">
        <v>8296</v>
      </c>
      <c r="AO9" s="304">
        <v>14097</v>
      </c>
      <c r="AP9" s="304">
        <v>3898</v>
      </c>
      <c r="AQ9" s="304">
        <v>10888</v>
      </c>
      <c r="AR9" s="304">
        <v>30573</v>
      </c>
      <c r="AS9" s="178"/>
      <c r="AT9" s="303">
        <f>SUM(C9:AR9)</f>
        <v>7727528</v>
      </c>
    </row>
    <row r="10" spans="1:46" ht="11.25" customHeight="1" hidden="1" outlineLevel="1">
      <c r="A10" s="174" t="s">
        <v>42</v>
      </c>
      <c r="B10" s="174"/>
      <c r="C10" s="304">
        <v>214015</v>
      </c>
      <c r="D10" s="304">
        <v>76159</v>
      </c>
      <c r="E10" s="304">
        <v>21638</v>
      </c>
      <c r="F10" s="304">
        <v>372460</v>
      </c>
      <c r="G10" s="304">
        <v>48405</v>
      </c>
      <c r="H10" s="304">
        <v>62288</v>
      </c>
      <c r="I10" s="304">
        <v>1035</v>
      </c>
      <c r="J10" s="304">
        <v>9122</v>
      </c>
      <c r="K10" s="304">
        <v>15883</v>
      </c>
      <c r="L10" s="304">
        <v>6508</v>
      </c>
      <c r="M10" s="304">
        <v>2693</v>
      </c>
      <c r="N10" s="304">
        <v>11231</v>
      </c>
      <c r="O10" s="304">
        <v>135715</v>
      </c>
      <c r="P10" s="304">
        <v>1190614</v>
      </c>
      <c r="Q10" s="304">
        <v>1432876</v>
      </c>
      <c r="R10" s="304">
        <v>141185</v>
      </c>
      <c r="S10" s="304">
        <v>112303</v>
      </c>
      <c r="T10" s="304">
        <v>18910</v>
      </c>
      <c r="U10" s="304">
        <v>63139</v>
      </c>
      <c r="V10" s="304">
        <v>2427</v>
      </c>
      <c r="W10" s="304">
        <v>58578</v>
      </c>
      <c r="X10" s="304">
        <v>4619</v>
      </c>
      <c r="Y10" s="304">
        <v>13609</v>
      </c>
      <c r="Z10" s="304">
        <v>66017</v>
      </c>
      <c r="AA10" s="304">
        <v>2299134</v>
      </c>
      <c r="AB10" s="304">
        <v>133289</v>
      </c>
      <c r="AC10" s="304">
        <v>159585</v>
      </c>
      <c r="AD10" s="304">
        <v>20316</v>
      </c>
      <c r="AE10" s="304">
        <v>18921</v>
      </c>
      <c r="AF10" s="304">
        <v>349349</v>
      </c>
      <c r="AG10" s="304">
        <v>42672</v>
      </c>
      <c r="AH10" s="304">
        <v>1372769</v>
      </c>
      <c r="AI10" s="304">
        <v>436591</v>
      </c>
      <c r="AJ10" s="304">
        <v>231230</v>
      </c>
      <c r="AK10" s="304">
        <v>190407</v>
      </c>
      <c r="AL10" s="304">
        <v>0</v>
      </c>
      <c r="AM10" s="304">
        <v>0</v>
      </c>
      <c r="AN10" s="304">
        <v>0</v>
      </c>
      <c r="AO10" s="304">
        <v>11298</v>
      </c>
      <c r="AP10" s="304">
        <v>2738</v>
      </c>
      <c r="AQ10" s="304">
        <v>6814</v>
      </c>
      <c r="AR10" s="304">
        <v>50859</v>
      </c>
      <c r="AS10" s="178"/>
      <c r="AT10" s="303">
        <f>SUM(C10:AR10)</f>
        <v>9407401</v>
      </c>
    </row>
    <row r="11" spans="1:46" ht="11.25" customHeight="1" hidden="1" outlineLevel="1">
      <c r="A11" s="174" t="s">
        <v>43</v>
      </c>
      <c r="B11" s="174"/>
      <c r="C11" s="304">
        <v>-155351</v>
      </c>
      <c r="D11" s="304">
        <v>49901</v>
      </c>
      <c r="E11" s="304">
        <v>43001</v>
      </c>
      <c r="F11" s="304">
        <v>0</v>
      </c>
      <c r="G11" s="304">
        <v>-9441</v>
      </c>
      <c r="H11" s="304">
        <v>-13650</v>
      </c>
      <c r="I11" s="304">
        <v>-1096</v>
      </c>
      <c r="J11" s="304">
        <v>-7189</v>
      </c>
      <c r="K11" s="304">
        <v>18665</v>
      </c>
      <c r="L11" s="304">
        <v>-1327</v>
      </c>
      <c r="M11" s="304">
        <v>-3517</v>
      </c>
      <c r="N11" s="304">
        <v>-16730</v>
      </c>
      <c r="O11" s="304">
        <v>-177404</v>
      </c>
      <c r="P11" s="304">
        <v>-515056</v>
      </c>
      <c r="Q11" s="304">
        <v>706</v>
      </c>
      <c r="R11" s="304">
        <v>355753</v>
      </c>
      <c r="S11" s="304">
        <v>616107</v>
      </c>
      <c r="T11" s="304">
        <v>61415</v>
      </c>
      <c r="U11" s="304">
        <v>-26451</v>
      </c>
      <c r="V11" s="304">
        <v>79</v>
      </c>
      <c r="W11" s="304">
        <v>-11751</v>
      </c>
      <c r="X11" s="304">
        <v>-3332</v>
      </c>
      <c r="Y11" s="304">
        <v>-11433</v>
      </c>
      <c r="Z11" s="304">
        <v>-32107</v>
      </c>
      <c r="AA11" s="304">
        <v>-359247</v>
      </c>
      <c r="AB11" s="304">
        <v>16169</v>
      </c>
      <c r="AC11" s="304">
        <v>-139883</v>
      </c>
      <c r="AD11" s="304">
        <v>0</v>
      </c>
      <c r="AE11" s="304">
        <v>-240</v>
      </c>
      <c r="AF11" s="304">
        <v>-40743</v>
      </c>
      <c r="AG11" s="304">
        <v>8493</v>
      </c>
      <c r="AH11" s="304">
        <v>-261407</v>
      </c>
      <c r="AI11" s="304">
        <v>448681</v>
      </c>
      <c r="AJ11" s="304">
        <v>368041</v>
      </c>
      <c r="AK11" s="304">
        <v>109817</v>
      </c>
      <c r="AL11" s="304">
        <v>0</v>
      </c>
      <c r="AM11" s="304">
        <v>0</v>
      </c>
      <c r="AN11" s="304">
        <v>0</v>
      </c>
      <c r="AO11" s="304">
        <v>0</v>
      </c>
      <c r="AP11" s="304">
        <v>-40</v>
      </c>
      <c r="AQ11" s="304">
        <v>-1239</v>
      </c>
      <c r="AR11" s="304">
        <v>1572</v>
      </c>
      <c r="AS11" s="178"/>
      <c r="AT11" s="303">
        <f>SUM(C11:AR11)</f>
        <v>309766</v>
      </c>
    </row>
    <row r="12" spans="1:46" ht="11.25" customHeight="1" hidden="1" outlineLevel="1">
      <c r="A12" s="174" t="s">
        <v>44</v>
      </c>
      <c r="B12" s="174"/>
      <c r="C12" s="304">
        <v>0</v>
      </c>
      <c r="D12" s="304">
        <v>0</v>
      </c>
      <c r="E12" s="304">
        <v>0</v>
      </c>
      <c r="F12" s="304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304">
        <v>0</v>
      </c>
      <c r="N12" s="304">
        <v>0</v>
      </c>
      <c r="O12" s="304">
        <v>0</v>
      </c>
      <c r="P12" s="304">
        <v>0</v>
      </c>
      <c r="Q12" s="304">
        <v>0</v>
      </c>
      <c r="R12" s="304">
        <v>0</v>
      </c>
      <c r="S12" s="304">
        <v>0</v>
      </c>
      <c r="T12" s="304">
        <v>0</v>
      </c>
      <c r="U12" s="304">
        <v>0</v>
      </c>
      <c r="V12" s="304">
        <v>0</v>
      </c>
      <c r="W12" s="304">
        <v>0</v>
      </c>
      <c r="X12" s="304">
        <v>0</v>
      </c>
      <c r="Y12" s="304">
        <v>0</v>
      </c>
      <c r="Z12" s="304">
        <v>0</v>
      </c>
      <c r="AA12" s="304">
        <v>731148</v>
      </c>
      <c r="AB12" s="304">
        <v>80469</v>
      </c>
      <c r="AC12" s="304">
        <v>115796</v>
      </c>
      <c r="AD12" s="304">
        <v>0</v>
      </c>
      <c r="AE12" s="304">
        <v>0</v>
      </c>
      <c r="AF12" s="304">
        <v>0</v>
      </c>
      <c r="AG12" s="304">
        <v>0</v>
      </c>
      <c r="AH12" s="304">
        <v>252624</v>
      </c>
      <c r="AI12" s="304">
        <v>202036</v>
      </c>
      <c r="AJ12" s="304">
        <v>191374</v>
      </c>
      <c r="AK12" s="304">
        <v>54450</v>
      </c>
      <c r="AL12" s="304">
        <v>0</v>
      </c>
      <c r="AM12" s="304">
        <v>0</v>
      </c>
      <c r="AN12" s="304">
        <v>0</v>
      </c>
      <c r="AO12" s="304">
        <v>0</v>
      </c>
      <c r="AP12" s="304">
        <v>0</v>
      </c>
      <c r="AQ12" s="304">
        <v>0</v>
      </c>
      <c r="AR12" s="304">
        <v>78681</v>
      </c>
      <c r="AS12" s="178"/>
      <c r="AT12" s="303">
        <f>SUM(C12:AR12)</f>
        <v>1706578</v>
      </c>
    </row>
    <row r="13" spans="1:46" ht="11.25" customHeight="1" collapsed="1">
      <c r="A13" s="305" t="s">
        <v>45</v>
      </c>
      <c r="B13" s="305"/>
      <c r="C13" s="184">
        <f>SUM(C9:C12)</f>
        <v>393921</v>
      </c>
      <c r="D13" s="184">
        <f aca="true" t="shared" si="0" ref="D13:AR13">SUM(D9:D12)</f>
        <v>264752</v>
      </c>
      <c r="E13" s="184">
        <f t="shared" si="0"/>
        <v>98879</v>
      </c>
      <c r="F13" s="184">
        <f t="shared" si="0"/>
        <v>597425</v>
      </c>
      <c r="G13" s="184">
        <f t="shared" si="0"/>
        <v>98320</v>
      </c>
      <c r="H13" s="184">
        <f t="shared" si="0"/>
        <v>115643</v>
      </c>
      <c r="I13" s="184">
        <f t="shared" si="0"/>
        <v>1714</v>
      </c>
      <c r="J13" s="184">
        <f t="shared" si="0"/>
        <v>12973</v>
      </c>
      <c r="K13" s="184">
        <f t="shared" si="0"/>
        <v>54172</v>
      </c>
      <c r="L13" s="184">
        <f t="shared" si="0"/>
        <v>14361</v>
      </c>
      <c r="M13" s="184">
        <f t="shared" si="0"/>
        <v>2359</v>
      </c>
      <c r="N13" s="184">
        <f t="shared" si="0"/>
        <v>11091</v>
      </c>
      <c r="O13" s="184">
        <f t="shared" si="0"/>
        <v>110331</v>
      </c>
      <c r="P13" s="184">
        <f t="shared" si="0"/>
        <v>1706445</v>
      </c>
      <c r="Q13" s="184">
        <f t="shared" si="0"/>
        <v>2445499</v>
      </c>
      <c r="R13" s="184">
        <f t="shared" si="0"/>
        <v>641810</v>
      </c>
      <c r="S13" s="184">
        <f t="shared" si="0"/>
        <v>752719</v>
      </c>
      <c r="T13" s="184">
        <f>SUM(T9:T12)</f>
        <v>107039</v>
      </c>
      <c r="U13" s="184">
        <f>SUM(U9:U12)</f>
        <v>121751</v>
      </c>
      <c r="V13" s="184">
        <f t="shared" si="0"/>
        <v>4346</v>
      </c>
      <c r="W13" s="184">
        <f t="shared" si="0"/>
        <v>112526</v>
      </c>
      <c r="X13" s="184">
        <f t="shared" si="0"/>
        <v>5792</v>
      </c>
      <c r="Y13" s="184">
        <f t="shared" si="0"/>
        <v>14850</v>
      </c>
      <c r="Z13" s="184">
        <f t="shared" si="0"/>
        <v>79898</v>
      </c>
      <c r="AA13" s="184">
        <f t="shared" si="0"/>
        <v>4195456</v>
      </c>
      <c r="AB13" s="184">
        <f t="shared" si="0"/>
        <v>321584</v>
      </c>
      <c r="AC13" s="184">
        <f t="shared" si="0"/>
        <v>238758</v>
      </c>
      <c r="AD13" s="184">
        <f t="shared" si="0"/>
        <v>43400</v>
      </c>
      <c r="AE13" s="184">
        <f t="shared" si="0"/>
        <v>24264</v>
      </c>
      <c r="AF13" s="184">
        <f t="shared" si="0"/>
        <v>419063</v>
      </c>
      <c r="AG13" s="184">
        <f t="shared" si="0"/>
        <v>58597</v>
      </c>
      <c r="AH13" s="184">
        <f>SUM(AH9:AH12)</f>
        <v>2669962</v>
      </c>
      <c r="AI13" s="184">
        <f>SUM(AI9:AI12)</f>
        <v>1507464</v>
      </c>
      <c r="AJ13" s="184">
        <f>SUM(AJ9:AJ12)</f>
        <v>983449</v>
      </c>
      <c r="AK13" s="184">
        <f>SUM(AK9:AK12)</f>
        <v>604670</v>
      </c>
      <c r="AL13" s="184">
        <f t="shared" si="0"/>
        <v>80652</v>
      </c>
      <c r="AM13" s="184">
        <f t="shared" si="0"/>
        <v>16903</v>
      </c>
      <c r="AN13" s="184">
        <f t="shared" si="0"/>
        <v>8296</v>
      </c>
      <c r="AO13" s="184">
        <f>SUM(AO9:AO12)</f>
        <v>25395</v>
      </c>
      <c r="AP13" s="184">
        <f t="shared" si="0"/>
        <v>6596</v>
      </c>
      <c r="AQ13" s="184">
        <f t="shared" si="0"/>
        <v>16463</v>
      </c>
      <c r="AR13" s="184">
        <f t="shared" si="0"/>
        <v>161685</v>
      </c>
      <c r="AS13" s="178"/>
      <c r="AT13" s="303">
        <f>SUM(AT9:AT12)</f>
        <v>19151273</v>
      </c>
    </row>
    <row r="14" spans="1:46" ht="11.25" customHeight="1">
      <c r="A14" s="305"/>
      <c r="B14" s="305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178"/>
      <c r="AT14" s="303"/>
    </row>
    <row r="15" spans="1:46" ht="11.25" customHeight="1" hidden="1" outlineLevel="1">
      <c r="A15" s="305" t="s">
        <v>46</v>
      </c>
      <c r="B15" s="305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78"/>
      <c r="AT15" s="303"/>
    </row>
    <row r="16" spans="1:46" ht="11.25" customHeight="1" hidden="1" outlineLevel="1">
      <c r="A16" s="307" t="s">
        <v>47</v>
      </c>
      <c r="B16" s="307"/>
      <c r="C16" s="308">
        <v>56640</v>
      </c>
      <c r="D16" s="308">
        <v>47221</v>
      </c>
      <c r="E16" s="308">
        <v>58290</v>
      </c>
      <c r="F16" s="308">
        <v>124423</v>
      </c>
      <c r="G16" s="308">
        <v>12466</v>
      </c>
      <c r="H16" s="308">
        <v>39830</v>
      </c>
      <c r="I16" s="308">
        <v>3730</v>
      </c>
      <c r="J16" s="308">
        <v>685</v>
      </c>
      <c r="K16" s="308">
        <v>0</v>
      </c>
      <c r="L16" s="308">
        <v>5589</v>
      </c>
      <c r="M16" s="308">
        <v>2976</v>
      </c>
      <c r="N16" s="308">
        <v>11229</v>
      </c>
      <c r="O16" s="308">
        <v>82470</v>
      </c>
      <c r="P16" s="308">
        <v>29482</v>
      </c>
      <c r="Q16" s="308">
        <v>380757</v>
      </c>
      <c r="R16" s="308">
        <v>205697</v>
      </c>
      <c r="S16" s="308">
        <v>204693</v>
      </c>
      <c r="T16" s="308">
        <v>37746</v>
      </c>
      <c r="U16" s="308">
        <v>11840</v>
      </c>
      <c r="V16" s="308">
        <v>1449</v>
      </c>
      <c r="W16" s="308">
        <v>12529</v>
      </c>
      <c r="X16" s="308">
        <v>2341</v>
      </c>
      <c r="Y16" s="308">
        <v>2043</v>
      </c>
      <c r="Z16" s="308">
        <v>129980</v>
      </c>
      <c r="AA16" s="308">
        <v>422861</v>
      </c>
      <c r="AB16" s="308">
        <v>131556</v>
      </c>
      <c r="AC16" s="308">
        <v>370098</v>
      </c>
      <c r="AD16" s="308">
        <v>3376</v>
      </c>
      <c r="AE16" s="308">
        <v>1070</v>
      </c>
      <c r="AF16" s="308">
        <v>9329</v>
      </c>
      <c r="AG16" s="308">
        <v>0</v>
      </c>
      <c r="AH16" s="308">
        <v>8322</v>
      </c>
      <c r="AI16" s="308">
        <v>20951</v>
      </c>
      <c r="AJ16" s="308">
        <v>107117</v>
      </c>
      <c r="AK16" s="308">
        <v>218176</v>
      </c>
      <c r="AL16" s="308">
        <v>7079</v>
      </c>
      <c r="AM16" s="308">
        <v>3491</v>
      </c>
      <c r="AN16" s="308">
        <v>10562</v>
      </c>
      <c r="AO16" s="308">
        <v>12993</v>
      </c>
      <c r="AP16" s="308">
        <v>3305</v>
      </c>
      <c r="AQ16" s="308">
        <v>0</v>
      </c>
      <c r="AR16" s="308">
        <v>58088</v>
      </c>
      <c r="AS16" s="178"/>
      <c r="AT16" s="303">
        <f>SUM(C16:AR16)</f>
        <v>2852480</v>
      </c>
    </row>
    <row r="17" spans="1:46" ht="11.25" customHeight="1" hidden="1" outlineLevel="1">
      <c r="A17" s="307" t="s">
        <v>48</v>
      </c>
      <c r="B17" s="307"/>
      <c r="C17" s="308">
        <v>0</v>
      </c>
      <c r="D17" s="308">
        <v>0</v>
      </c>
      <c r="E17" s="308">
        <v>0</v>
      </c>
      <c r="F17" s="308">
        <v>0</v>
      </c>
      <c r="G17" s="308">
        <v>0</v>
      </c>
      <c r="H17" s="308">
        <v>0</v>
      </c>
      <c r="I17" s="308">
        <v>0</v>
      </c>
      <c r="J17" s="308">
        <v>0</v>
      </c>
      <c r="K17" s="308">
        <v>0</v>
      </c>
      <c r="L17" s="308">
        <v>0</v>
      </c>
      <c r="M17" s="308">
        <v>0</v>
      </c>
      <c r="N17" s="308">
        <v>0</v>
      </c>
      <c r="O17" s="308">
        <v>0</v>
      </c>
      <c r="P17" s="308">
        <v>0</v>
      </c>
      <c r="Q17" s="308">
        <v>0</v>
      </c>
      <c r="R17" s="308">
        <v>0</v>
      </c>
      <c r="S17" s="308">
        <v>0</v>
      </c>
      <c r="T17" s="308">
        <v>0</v>
      </c>
      <c r="U17" s="308">
        <v>0</v>
      </c>
      <c r="V17" s="308">
        <v>0</v>
      </c>
      <c r="W17" s="308">
        <v>0</v>
      </c>
      <c r="X17" s="308">
        <v>0</v>
      </c>
      <c r="Y17" s="308">
        <v>0</v>
      </c>
      <c r="Z17" s="308">
        <v>0</v>
      </c>
      <c r="AA17" s="308">
        <v>0</v>
      </c>
      <c r="AB17" s="308">
        <v>0</v>
      </c>
      <c r="AC17" s="308">
        <v>0</v>
      </c>
      <c r="AD17" s="308">
        <v>0</v>
      </c>
      <c r="AE17" s="308">
        <v>0</v>
      </c>
      <c r="AF17" s="308">
        <v>0</v>
      </c>
      <c r="AG17" s="308">
        <v>0</v>
      </c>
      <c r="AH17" s="308">
        <v>0</v>
      </c>
      <c r="AI17" s="308">
        <v>0</v>
      </c>
      <c r="AJ17" s="308">
        <v>0</v>
      </c>
      <c r="AK17" s="308">
        <v>0</v>
      </c>
      <c r="AL17" s="308">
        <v>0</v>
      </c>
      <c r="AM17" s="308">
        <v>0</v>
      </c>
      <c r="AN17" s="308">
        <v>0</v>
      </c>
      <c r="AO17" s="308">
        <v>0</v>
      </c>
      <c r="AP17" s="308">
        <v>0</v>
      </c>
      <c r="AQ17" s="308">
        <v>0</v>
      </c>
      <c r="AR17" s="308">
        <v>0</v>
      </c>
      <c r="AS17" s="178"/>
      <c r="AT17" s="303">
        <f>SUM(C17:AR17)</f>
        <v>0</v>
      </c>
    </row>
    <row r="18" spans="1:46" ht="11.25" customHeight="1" hidden="1" outlineLevel="1">
      <c r="A18" s="307" t="s">
        <v>49</v>
      </c>
      <c r="B18" s="307"/>
      <c r="C18" s="308">
        <v>0</v>
      </c>
      <c r="D18" s="308">
        <v>0</v>
      </c>
      <c r="E18" s="308">
        <v>0</v>
      </c>
      <c r="F18" s="308">
        <v>0</v>
      </c>
      <c r="G18" s="308">
        <v>0</v>
      </c>
      <c r="H18" s="308">
        <v>0</v>
      </c>
      <c r="I18" s="308">
        <v>0</v>
      </c>
      <c r="J18" s="308">
        <v>0</v>
      </c>
      <c r="K18" s="308">
        <v>0</v>
      </c>
      <c r="L18" s="308">
        <v>0</v>
      </c>
      <c r="M18" s="308">
        <v>0</v>
      </c>
      <c r="N18" s="308">
        <v>0</v>
      </c>
      <c r="O18" s="308">
        <v>0</v>
      </c>
      <c r="P18" s="308">
        <v>0</v>
      </c>
      <c r="Q18" s="308">
        <v>0</v>
      </c>
      <c r="R18" s="308">
        <v>0</v>
      </c>
      <c r="S18" s="308">
        <v>0</v>
      </c>
      <c r="T18" s="308">
        <v>0</v>
      </c>
      <c r="U18" s="308">
        <v>0</v>
      </c>
      <c r="V18" s="308">
        <v>0</v>
      </c>
      <c r="W18" s="308">
        <v>0</v>
      </c>
      <c r="X18" s="308">
        <v>0</v>
      </c>
      <c r="Y18" s="308">
        <v>0</v>
      </c>
      <c r="Z18" s="308">
        <v>0</v>
      </c>
      <c r="AA18" s="308">
        <v>0</v>
      </c>
      <c r="AB18" s="308">
        <v>0</v>
      </c>
      <c r="AC18" s="308">
        <v>0</v>
      </c>
      <c r="AD18" s="308">
        <v>0</v>
      </c>
      <c r="AE18" s="308">
        <v>0</v>
      </c>
      <c r="AF18" s="308">
        <v>0</v>
      </c>
      <c r="AG18" s="308">
        <v>0</v>
      </c>
      <c r="AH18" s="308">
        <v>0</v>
      </c>
      <c r="AI18" s="308">
        <v>0</v>
      </c>
      <c r="AJ18" s="308">
        <v>0</v>
      </c>
      <c r="AK18" s="308">
        <v>0</v>
      </c>
      <c r="AL18" s="308">
        <v>0</v>
      </c>
      <c r="AM18" s="308">
        <v>0</v>
      </c>
      <c r="AN18" s="308">
        <v>0</v>
      </c>
      <c r="AO18" s="308">
        <v>0</v>
      </c>
      <c r="AP18" s="308">
        <v>0</v>
      </c>
      <c r="AQ18" s="308">
        <v>0</v>
      </c>
      <c r="AR18" s="308">
        <v>0</v>
      </c>
      <c r="AS18" s="178"/>
      <c r="AT18" s="303">
        <f>SUM(C18:AR18)</f>
        <v>0</v>
      </c>
    </row>
    <row r="19" spans="1:46" ht="11.25" customHeight="1" hidden="1" outlineLevel="1">
      <c r="A19" s="307" t="s">
        <v>50</v>
      </c>
      <c r="B19" s="307"/>
      <c r="C19" s="308">
        <v>0</v>
      </c>
      <c r="D19" s="308">
        <v>0</v>
      </c>
      <c r="E19" s="308">
        <v>0</v>
      </c>
      <c r="F19" s="308">
        <v>0</v>
      </c>
      <c r="G19" s="308">
        <v>0</v>
      </c>
      <c r="H19" s="308">
        <v>0</v>
      </c>
      <c r="I19" s="308">
        <v>0</v>
      </c>
      <c r="J19" s="308">
        <v>0</v>
      </c>
      <c r="K19" s="308">
        <v>0</v>
      </c>
      <c r="L19" s="308">
        <v>0</v>
      </c>
      <c r="M19" s="308">
        <v>0</v>
      </c>
      <c r="N19" s="308">
        <v>0</v>
      </c>
      <c r="O19" s="308">
        <v>0</v>
      </c>
      <c r="P19" s="308">
        <v>0</v>
      </c>
      <c r="Q19" s="308">
        <v>0</v>
      </c>
      <c r="R19" s="308">
        <v>0</v>
      </c>
      <c r="S19" s="308">
        <v>0</v>
      </c>
      <c r="T19" s="308">
        <v>0</v>
      </c>
      <c r="U19" s="308">
        <v>0</v>
      </c>
      <c r="V19" s="308">
        <v>0</v>
      </c>
      <c r="W19" s="308">
        <v>0</v>
      </c>
      <c r="X19" s="308">
        <v>0</v>
      </c>
      <c r="Y19" s="308">
        <v>0</v>
      </c>
      <c r="Z19" s="308">
        <v>0</v>
      </c>
      <c r="AA19" s="308">
        <v>0</v>
      </c>
      <c r="AB19" s="308">
        <v>0</v>
      </c>
      <c r="AC19" s="308">
        <v>0</v>
      </c>
      <c r="AD19" s="308">
        <v>0</v>
      </c>
      <c r="AE19" s="308">
        <v>0</v>
      </c>
      <c r="AF19" s="308">
        <v>0</v>
      </c>
      <c r="AG19" s="308">
        <v>0</v>
      </c>
      <c r="AH19" s="308">
        <v>0</v>
      </c>
      <c r="AI19" s="308">
        <v>0</v>
      </c>
      <c r="AJ19" s="308">
        <v>0</v>
      </c>
      <c r="AK19" s="308">
        <v>0</v>
      </c>
      <c r="AL19" s="308">
        <v>0</v>
      </c>
      <c r="AM19" s="308">
        <v>0</v>
      </c>
      <c r="AN19" s="308">
        <v>0</v>
      </c>
      <c r="AO19" s="308">
        <v>0</v>
      </c>
      <c r="AP19" s="308">
        <v>0</v>
      </c>
      <c r="AQ19" s="308">
        <v>0</v>
      </c>
      <c r="AR19" s="308">
        <v>0</v>
      </c>
      <c r="AS19" s="178"/>
      <c r="AT19" s="303">
        <f>SUM(C19:AR19)</f>
        <v>0</v>
      </c>
    </row>
    <row r="20" spans="1:46" ht="11.25" customHeight="1" collapsed="1">
      <c r="A20" s="305" t="s">
        <v>51</v>
      </c>
      <c r="B20" s="305"/>
      <c r="C20" s="184">
        <f>SUM(C16:C19)</f>
        <v>56640</v>
      </c>
      <c r="D20" s="184">
        <f aca="true" t="shared" si="1" ref="D20:AR20">SUM(D16:D19)</f>
        <v>47221</v>
      </c>
      <c r="E20" s="184">
        <f t="shared" si="1"/>
        <v>58290</v>
      </c>
      <c r="F20" s="184">
        <f t="shared" si="1"/>
        <v>124423</v>
      </c>
      <c r="G20" s="184">
        <f t="shared" si="1"/>
        <v>12466</v>
      </c>
      <c r="H20" s="184">
        <f t="shared" si="1"/>
        <v>39830</v>
      </c>
      <c r="I20" s="184">
        <f t="shared" si="1"/>
        <v>3730</v>
      </c>
      <c r="J20" s="184">
        <f t="shared" si="1"/>
        <v>685</v>
      </c>
      <c r="K20" s="184">
        <f t="shared" si="1"/>
        <v>0</v>
      </c>
      <c r="L20" s="184">
        <f t="shared" si="1"/>
        <v>5589</v>
      </c>
      <c r="M20" s="184">
        <f t="shared" si="1"/>
        <v>2976</v>
      </c>
      <c r="N20" s="184">
        <f t="shared" si="1"/>
        <v>11229</v>
      </c>
      <c r="O20" s="184">
        <f t="shared" si="1"/>
        <v>82470</v>
      </c>
      <c r="P20" s="184">
        <f t="shared" si="1"/>
        <v>29482</v>
      </c>
      <c r="Q20" s="184">
        <f t="shared" si="1"/>
        <v>380757</v>
      </c>
      <c r="R20" s="184">
        <f t="shared" si="1"/>
        <v>205697</v>
      </c>
      <c r="S20" s="184">
        <f t="shared" si="1"/>
        <v>204693</v>
      </c>
      <c r="T20" s="184">
        <f>SUM(T16:T19)</f>
        <v>37746</v>
      </c>
      <c r="U20" s="184">
        <f>SUM(U16:U19)</f>
        <v>11840</v>
      </c>
      <c r="V20" s="184">
        <f t="shared" si="1"/>
        <v>1449</v>
      </c>
      <c r="W20" s="184">
        <f t="shared" si="1"/>
        <v>12529</v>
      </c>
      <c r="X20" s="184">
        <f t="shared" si="1"/>
        <v>2341</v>
      </c>
      <c r="Y20" s="184">
        <f t="shared" si="1"/>
        <v>2043</v>
      </c>
      <c r="Z20" s="184">
        <f t="shared" si="1"/>
        <v>129980</v>
      </c>
      <c r="AA20" s="184">
        <f t="shared" si="1"/>
        <v>422861</v>
      </c>
      <c r="AB20" s="184">
        <f t="shared" si="1"/>
        <v>131556</v>
      </c>
      <c r="AC20" s="184">
        <f t="shared" si="1"/>
        <v>370098</v>
      </c>
      <c r="AD20" s="184">
        <f t="shared" si="1"/>
        <v>3376</v>
      </c>
      <c r="AE20" s="184">
        <f t="shared" si="1"/>
        <v>1070</v>
      </c>
      <c r="AF20" s="184">
        <f t="shared" si="1"/>
        <v>9329</v>
      </c>
      <c r="AG20" s="184">
        <f t="shared" si="1"/>
        <v>0</v>
      </c>
      <c r="AH20" s="184">
        <f>SUM(AH16:AH19)</f>
        <v>8322</v>
      </c>
      <c r="AI20" s="184">
        <f>SUM(AI16:AI19)</f>
        <v>20951</v>
      </c>
      <c r="AJ20" s="184">
        <f>SUM(AJ16:AJ19)</f>
        <v>107117</v>
      </c>
      <c r="AK20" s="184">
        <f>SUM(AK16:AK19)</f>
        <v>218176</v>
      </c>
      <c r="AL20" s="184">
        <f t="shared" si="1"/>
        <v>7079</v>
      </c>
      <c r="AM20" s="184">
        <f t="shared" si="1"/>
        <v>3491</v>
      </c>
      <c r="AN20" s="184">
        <f t="shared" si="1"/>
        <v>10562</v>
      </c>
      <c r="AO20" s="184">
        <f>SUM(AO16:AO19)</f>
        <v>12993</v>
      </c>
      <c r="AP20" s="184">
        <f t="shared" si="1"/>
        <v>3305</v>
      </c>
      <c r="AQ20" s="184">
        <f t="shared" si="1"/>
        <v>0</v>
      </c>
      <c r="AR20" s="184">
        <f t="shared" si="1"/>
        <v>58088</v>
      </c>
      <c r="AS20" s="178"/>
      <c r="AT20" s="303">
        <f>SUM(AT16:AT19)</f>
        <v>2852480</v>
      </c>
    </row>
    <row r="21" spans="1:46" ht="11.25" customHeight="1">
      <c r="A21" s="305"/>
      <c r="B21" s="305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178"/>
      <c r="AT21" s="303"/>
    </row>
    <row r="22" spans="1:46" ht="11.25" customHeight="1" hidden="1" outlineLevel="1">
      <c r="A22" s="305" t="s">
        <v>52</v>
      </c>
      <c r="B22" s="305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78"/>
      <c r="AT22" s="303"/>
    </row>
    <row r="23" spans="1:46" ht="11.25" customHeight="1" hidden="1" outlineLevel="1">
      <c r="A23" s="307" t="s">
        <v>53</v>
      </c>
      <c r="B23" s="307"/>
      <c r="C23" s="310">
        <v>0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310">
        <v>0</v>
      </c>
      <c r="N23" s="310">
        <v>0</v>
      </c>
      <c r="O23" s="310">
        <v>0</v>
      </c>
      <c r="P23" s="310">
        <v>0</v>
      </c>
      <c r="Q23" s="310">
        <v>0</v>
      </c>
      <c r="R23" s="310">
        <v>0</v>
      </c>
      <c r="S23" s="310">
        <v>0</v>
      </c>
      <c r="T23" s="310">
        <v>0</v>
      </c>
      <c r="U23" s="310">
        <v>0</v>
      </c>
      <c r="V23" s="310">
        <v>0</v>
      </c>
      <c r="W23" s="310">
        <v>0</v>
      </c>
      <c r="X23" s="310">
        <v>0</v>
      </c>
      <c r="Y23" s="310"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>
        <v>0</v>
      </c>
      <c r="AK23" s="310">
        <v>0</v>
      </c>
      <c r="AL23" s="310">
        <v>0</v>
      </c>
      <c r="AM23" s="310">
        <v>0</v>
      </c>
      <c r="AN23" s="310">
        <v>0</v>
      </c>
      <c r="AO23" s="310">
        <v>0</v>
      </c>
      <c r="AP23" s="310">
        <v>0</v>
      </c>
      <c r="AQ23" s="310">
        <v>0</v>
      </c>
      <c r="AR23" s="310">
        <v>0</v>
      </c>
      <c r="AS23" s="178"/>
      <c r="AT23" s="303">
        <f>SUM(C23:AR23)</f>
        <v>0</v>
      </c>
    </row>
    <row r="24" spans="1:46" ht="11.25" customHeight="1" hidden="1" outlineLevel="1">
      <c r="A24" s="307" t="s">
        <v>54</v>
      </c>
      <c r="B24" s="307"/>
      <c r="C24" s="310">
        <v>-10935</v>
      </c>
      <c r="D24" s="310">
        <v>-7758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v>0</v>
      </c>
      <c r="M24" s="310">
        <v>0</v>
      </c>
      <c r="N24" s="310">
        <v>0</v>
      </c>
      <c r="O24" s="310">
        <v>0</v>
      </c>
      <c r="P24" s="310">
        <v>0</v>
      </c>
      <c r="Q24" s="310">
        <v>0</v>
      </c>
      <c r="R24" s="310">
        <v>0</v>
      </c>
      <c r="S24" s="310">
        <v>0</v>
      </c>
      <c r="T24" s="310">
        <v>0</v>
      </c>
      <c r="U24" s="310">
        <v>0</v>
      </c>
      <c r="V24" s="310">
        <v>0</v>
      </c>
      <c r="W24" s="310">
        <v>0</v>
      </c>
      <c r="X24" s="310">
        <v>0</v>
      </c>
      <c r="Y24" s="310">
        <v>0</v>
      </c>
      <c r="Z24" s="310">
        <v>0</v>
      </c>
      <c r="AA24" s="310">
        <v>0</v>
      </c>
      <c r="AB24" s="310">
        <v>0</v>
      </c>
      <c r="AC24" s="310">
        <v>0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>
        <v>0</v>
      </c>
      <c r="AK24" s="310">
        <v>0</v>
      </c>
      <c r="AL24" s="310">
        <v>0</v>
      </c>
      <c r="AM24" s="310">
        <v>0</v>
      </c>
      <c r="AN24" s="310">
        <v>0</v>
      </c>
      <c r="AO24" s="310">
        <v>0</v>
      </c>
      <c r="AP24" s="310">
        <v>0</v>
      </c>
      <c r="AQ24" s="310">
        <v>0</v>
      </c>
      <c r="AR24" s="310">
        <v>0</v>
      </c>
      <c r="AS24" s="178"/>
      <c r="AT24" s="303">
        <f aca="true" t="shared" si="2" ref="AT24:AT31">SUM(C24:AR24)</f>
        <v>-18693</v>
      </c>
    </row>
    <row r="25" spans="1:46" ht="11.25" customHeight="1" hidden="1" outlineLevel="1">
      <c r="A25" s="307" t="s">
        <v>55</v>
      </c>
      <c r="B25" s="307"/>
      <c r="C25" s="310">
        <v>0</v>
      </c>
      <c r="D25" s="310">
        <v>0</v>
      </c>
      <c r="E25" s="310">
        <v>0</v>
      </c>
      <c r="F25" s="310">
        <v>16470</v>
      </c>
      <c r="G25" s="310">
        <v>1737</v>
      </c>
      <c r="H25" s="310">
        <v>2174</v>
      </c>
      <c r="I25" s="310">
        <v>0</v>
      </c>
      <c r="J25" s="310">
        <v>-1291</v>
      </c>
      <c r="K25" s="310">
        <v>-2063</v>
      </c>
      <c r="L25" s="310">
        <v>-203</v>
      </c>
      <c r="M25" s="310">
        <v>0</v>
      </c>
      <c r="N25" s="310">
        <v>156</v>
      </c>
      <c r="O25" s="310">
        <v>0</v>
      </c>
      <c r="P25" s="310">
        <v>-107379</v>
      </c>
      <c r="Q25" s="310">
        <v>132960</v>
      </c>
      <c r="R25" s="310">
        <v>-8716</v>
      </c>
      <c r="S25" s="310">
        <v>0</v>
      </c>
      <c r="T25" s="310">
        <v>4142</v>
      </c>
      <c r="U25" s="310">
        <v>91584</v>
      </c>
      <c r="V25" s="310">
        <v>0</v>
      </c>
      <c r="W25" s="310">
        <v>0</v>
      </c>
      <c r="X25" s="310">
        <v>14115</v>
      </c>
      <c r="Y25" s="310">
        <v>2591</v>
      </c>
      <c r="Z25" s="310">
        <v>38335</v>
      </c>
      <c r="AA25" s="310">
        <v>-147647</v>
      </c>
      <c r="AB25" s="310">
        <v>-8582</v>
      </c>
      <c r="AC25" s="310">
        <v>0</v>
      </c>
      <c r="AD25" s="310">
        <v>0</v>
      </c>
      <c r="AE25" s="310">
        <v>0</v>
      </c>
      <c r="AF25" s="310">
        <v>132763</v>
      </c>
      <c r="AG25" s="310">
        <v>2955</v>
      </c>
      <c r="AH25" s="310">
        <v>9242</v>
      </c>
      <c r="AI25" s="310">
        <v>5319</v>
      </c>
      <c r="AJ25" s="310">
        <v>1630</v>
      </c>
      <c r="AK25" s="310">
        <v>0</v>
      </c>
      <c r="AL25" s="310">
        <v>0</v>
      </c>
      <c r="AM25" s="310">
        <v>0</v>
      </c>
      <c r="AN25" s="310">
        <v>0</v>
      </c>
      <c r="AO25" s="310">
        <v>2011</v>
      </c>
      <c r="AP25" s="310">
        <v>0</v>
      </c>
      <c r="AQ25" s="310">
        <v>0</v>
      </c>
      <c r="AR25" s="310">
        <v>3073</v>
      </c>
      <c r="AS25" s="178"/>
      <c r="AT25" s="303">
        <f t="shared" si="2"/>
        <v>185376</v>
      </c>
    </row>
    <row r="26" spans="1:46" ht="11.25" customHeight="1" hidden="1" outlineLevel="1">
      <c r="A26" s="307" t="s">
        <v>56</v>
      </c>
      <c r="B26" s="307"/>
      <c r="C26" s="310">
        <v>0</v>
      </c>
      <c r="D26" s="310">
        <v>0</v>
      </c>
      <c r="E26" s="310">
        <v>0</v>
      </c>
      <c r="F26" s="310">
        <v>0</v>
      </c>
      <c r="G26" s="310">
        <v>0</v>
      </c>
      <c r="H26" s="310">
        <v>0</v>
      </c>
      <c r="I26" s="310">
        <v>0</v>
      </c>
      <c r="J26" s="310">
        <v>0</v>
      </c>
      <c r="K26" s="310">
        <v>0</v>
      </c>
      <c r="L26" s="310">
        <v>0</v>
      </c>
      <c r="M26" s="310">
        <v>0</v>
      </c>
      <c r="N26" s="310">
        <v>0</v>
      </c>
      <c r="O26" s="310">
        <v>0</v>
      </c>
      <c r="P26" s="310">
        <v>0</v>
      </c>
      <c r="Q26" s="310">
        <v>0</v>
      </c>
      <c r="R26" s="310">
        <v>0</v>
      </c>
      <c r="S26" s="310">
        <v>0</v>
      </c>
      <c r="T26" s="310">
        <v>0</v>
      </c>
      <c r="U26" s="310">
        <v>0</v>
      </c>
      <c r="V26" s="310">
        <v>0</v>
      </c>
      <c r="W26" s="310">
        <v>0</v>
      </c>
      <c r="X26" s="310">
        <v>0</v>
      </c>
      <c r="Y26" s="310">
        <v>0</v>
      </c>
      <c r="Z26" s="310">
        <v>0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  <c r="AF26" s="310">
        <v>9918</v>
      </c>
      <c r="AG26" s="310">
        <v>459</v>
      </c>
      <c r="AH26" s="310">
        <v>0</v>
      </c>
      <c r="AI26" s="310">
        <v>0</v>
      </c>
      <c r="AJ26" s="310">
        <v>0</v>
      </c>
      <c r="AK26" s="310">
        <v>0</v>
      </c>
      <c r="AL26" s="310">
        <v>0</v>
      </c>
      <c r="AM26" s="310">
        <v>0</v>
      </c>
      <c r="AN26" s="310">
        <v>0</v>
      </c>
      <c r="AO26" s="310">
        <v>0</v>
      </c>
      <c r="AP26" s="310">
        <v>0</v>
      </c>
      <c r="AQ26" s="310">
        <v>0</v>
      </c>
      <c r="AR26" s="310">
        <v>0</v>
      </c>
      <c r="AS26" s="178"/>
      <c r="AT26" s="303">
        <f t="shared" si="2"/>
        <v>10377</v>
      </c>
    </row>
    <row r="27" spans="1:46" ht="11.25" customHeight="1" hidden="1" outlineLevel="1">
      <c r="A27" s="307" t="s">
        <v>57</v>
      </c>
      <c r="B27" s="307"/>
      <c r="C27" s="310">
        <v>189628</v>
      </c>
      <c r="D27" s="310">
        <v>87718</v>
      </c>
      <c r="E27" s="310">
        <v>58158</v>
      </c>
      <c r="F27" s="310">
        <v>395562</v>
      </c>
      <c r="G27" s="310">
        <v>29161</v>
      </c>
      <c r="H27" s="310">
        <v>68751</v>
      </c>
      <c r="I27" s="310">
        <v>2282</v>
      </c>
      <c r="J27" s="310">
        <v>2704</v>
      </c>
      <c r="K27" s="310">
        <v>14987</v>
      </c>
      <c r="L27" s="310">
        <v>8150</v>
      </c>
      <c r="M27" s="310">
        <v>568</v>
      </c>
      <c r="N27" s="310">
        <v>22167</v>
      </c>
      <c r="O27" s="310">
        <v>264736</v>
      </c>
      <c r="P27" s="310">
        <v>255786</v>
      </c>
      <c r="Q27" s="310">
        <v>461383</v>
      </c>
      <c r="R27" s="310">
        <v>186802</v>
      </c>
      <c r="S27" s="310">
        <v>205518</v>
      </c>
      <c r="T27" s="310">
        <v>62926</v>
      </c>
      <c r="U27" s="310">
        <v>116915</v>
      </c>
      <c r="V27" s="310">
        <v>1322</v>
      </c>
      <c r="W27" s="310">
        <v>97193</v>
      </c>
      <c r="X27" s="310">
        <v>1054</v>
      </c>
      <c r="Y27" s="310">
        <v>645</v>
      </c>
      <c r="Z27" s="310">
        <v>102501</v>
      </c>
      <c r="AA27" s="310">
        <v>1163662</v>
      </c>
      <c r="AB27" s="310">
        <v>157536</v>
      </c>
      <c r="AC27" s="310">
        <v>504160</v>
      </c>
      <c r="AD27" s="310">
        <v>14694</v>
      </c>
      <c r="AE27" s="310">
        <v>6672</v>
      </c>
      <c r="AF27" s="310">
        <v>0</v>
      </c>
      <c r="AG27" s="310">
        <v>0</v>
      </c>
      <c r="AH27" s="310">
        <v>747389</v>
      </c>
      <c r="AI27" s="310">
        <v>491865</v>
      </c>
      <c r="AJ27" s="310">
        <v>418370</v>
      </c>
      <c r="AK27" s="310">
        <v>314603</v>
      </c>
      <c r="AL27" s="310">
        <v>14594</v>
      </c>
      <c r="AM27" s="310">
        <v>4287</v>
      </c>
      <c r="AN27" s="310">
        <v>5986</v>
      </c>
      <c r="AO27" s="310">
        <v>28110</v>
      </c>
      <c r="AP27" s="310">
        <v>-1357</v>
      </c>
      <c r="AQ27" s="310">
        <v>-284</v>
      </c>
      <c r="AR27" s="310">
        <v>162319</v>
      </c>
      <c r="AS27" s="178"/>
      <c r="AT27" s="303">
        <f t="shared" si="2"/>
        <v>6669223</v>
      </c>
    </row>
    <row r="28" spans="1:46" ht="11.25" customHeight="1" hidden="1" outlineLevel="1">
      <c r="A28" s="307" t="s">
        <v>58</v>
      </c>
      <c r="B28" s="307"/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10">
        <v>0</v>
      </c>
      <c r="N28" s="310">
        <v>0</v>
      </c>
      <c r="O28" s="310">
        <v>0</v>
      </c>
      <c r="P28" s="310">
        <v>0</v>
      </c>
      <c r="Q28" s="310">
        <v>0</v>
      </c>
      <c r="R28" s="310">
        <v>0</v>
      </c>
      <c r="S28" s="310">
        <v>0</v>
      </c>
      <c r="T28" s="310">
        <v>0</v>
      </c>
      <c r="U28" s="310">
        <v>0</v>
      </c>
      <c r="V28" s="310">
        <v>0</v>
      </c>
      <c r="W28" s="310">
        <v>0</v>
      </c>
      <c r="X28" s="310">
        <v>0</v>
      </c>
      <c r="Y28" s="310">
        <v>0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>
        <v>0</v>
      </c>
      <c r="AK28" s="310">
        <v>0</v>
      </c>
      <c r="AL28" s="310">
        <v>0</v>
      </c>
      <c r="AM28" s="310">
        <v>0</v>
      </c>
      <c r="AN28" s="310">
        <v>0</v>
      </c>
      <c r="AO28" s="310">
        <v>0</v>
      </c>
      <c r="AP28" s="310">
        <v>0</v>
      </c>
      <c r="AQ28" s="310">
        <v>0</v>
      </c>
      <c r="AR28" s="310">
        <v>0</v>
      </c>
      <c r="AS28" s="178"/>
      <c r="AT28" s="303">
        <f t="shared" si="2"/>
        <v>0</v>
      </c>
    </row>
    <row r="29" spans="1:46" ht="11.25" customHeight="1" hidden="1" outlineLevel="1">
      <c r="A29" s="307" t="s">
        <v>59</v>
      </c>
      <c r="B29" s="307"/>
      <c r="C29" s="310">
        <v>0</v>
      </c>
      <c r="D29" s="310">
        <v>0</v>
      </c>
      <c r="E29" s="310">
        <v>0</v>
      </c>
      <c r="F29" s="310">
        <v>0</v>
      </c>
      <c r="G29" s="310">
        <v>0</v>
      </c>
      <c r="H29" s="310">
        <v>0</v>
      </c>
      <c r="I29" s="310">
        <v>0</v>
      </c>
      <c r="J29" s="310">
        <v>0</v>
      </c>
      <c r="K29" s="310">
        <v>0</v>
      </c>
      <c r="L29" s="310">
        <v>0</v>
      </c>
      <c r="M29" s="310">
        <v>0</v>
      </c>
      <c r="N29" s="310">
        <v>0</v>
      </c>
      <c r="O29" s="310">
        <v>0</v>
      </c>
      <c r="P29" s="310">
        <v>0</v>
      </c>
      <c r="Q29" s="310">
        <v>0</v>
      </c>
      <c r="R29" s="310">
        <v>0</v>
      </c>
      <c r="S29" s="310">
        <v>0</v>
      </c>
      <c r="T29" s="310">
        <v>0</v>
      </c>
      <c r="U29" s="310">
        <v>0</v>
      </c>
      <c r="V29" s="310">
        <v>0</v>
      </c>
      <c r="W29" s="310">
        <v>0</v>
      </c>
      <c r="X29" s="310">
        <v>0</v>
      </c>
      <c r="Y29" s="310">
        <v>0</v>
      </c>
      <c r="Z29" s="310">
        <v>0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v>0</v>
      </c>
      <c r="AJ29" s="310">
        <v>0</v>
      </c>
      <c r="AK29" s="310">
        <v>0</v>
      </c>
      <c r="AL29" s="310">
        <v>0</v>
      </c>
      <c r="AM29" s="310">
        <v>0</v>
      </c>
      <c r="AN29" s="310">
        <v>0</v>
      </c>
      <c r="AO29" s="310">
        <v>0</v>
      </c>
      <c r="AP29" s="310">
        <v>0</v>
      </c>
      <c r="AQ29" s="310">
        <v>0</v>
      </c>
      <c r="AR29" s="310">
        <v>0</v>
      </c>
      <c r="AS29" s="178"/>
      <c r="AT29" s="303">
        <f t="shared" si="2"/>
        <v>0</v>
      </c>
    </row>
    <row r="30" spans="1:46" ht="11.25" customHeight="1" hidden="1" outlineLevel="1">
      <c r="A30" s="307" t="s">
        <v>60</v>
      </c>
      <c r="B30" s="307"/>
      <c r="C30" s="310">
        <v>0</v>
      </c>
      <c r="D30" s="310">
        <v>0</v>
      </c>
      <c r="E30" s="310">
        <v>0</v>
      </c>
      <c r="F30" s="310">
        <v>-432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10">
        <v>0</v>
      </c>
      <c r="N30" s="310">
        <v>0</v>
      </c>
      <c r="O30" s="310">
        <v>0</v>
      </c>
      <c r="P30" s="310">
        <v>0</v>
      </c>
      <c r="Q30" s="310">
        <v>0</v>
      </c>
      <c r="R30" s="310">
        <v>0</v>
      </c>
      <c r="S30" s="310">
        <v>0</v>
      </c>
      <c r="T30" s="310">
        <v>0</v>
      </c>
      <c r="U30" s="310">
        <v>0</v>
      </c>
      <c r="V30" s="310">
        <v>0</v>
      </c>
      <c r="W30" s="310">
        <v>0</v>
      </c>
      <c r="X30" s="310">
        <v>0</v>
      </c>
      <c r="Y30" s="310">
        <v>0</v>
      </c>
      <c r="Z30" s="310">
        <v>-342</v>
      </c>
      <c r="AA30" s="310">
        <v>0</v>
      </c>
      <c r="AB30" s="310">
        <v>0</v>
      </c>
      <c r="AC30" s="310">
        <v>0</v>
      </c>
      <c r="AD30" s="310">
        <v>0</v>
      </c>
      <c r="AE30" s="310">
        <v>0</v>
      </c>
      <c r="AF30" s="310">
        <v>0</v>
      </c>
      <c r="AG30" s="310">
        <v>0</v>
      </c>
      <c r="AH30" s="310">
        <v>0</v>
      </c>
      <c r="AI30" s="310">
        <v>0</v>
      </c>
      <c r="AJ30" s="310">
        <v>0</v>
      </c>
      <c r="AK30" s="310">
        <v>0</v>
      </c>
      <c r="AL30" s="310">
        <v>0</v>
      </c>
      <c r="AM30" s="310">
        <v>0</v>
      </c>
      <c r="AN30" s="310">
        <v>0</v>
      </c>
      <c r="AO30" s="310">
        <v>0</v>
      </c>
      <c r="AP30" s="310">
        <v>0</v>
      </c>
      <c r="AQ30" s="310">
        <v>0</v>
      </c>
      <c r="AR30" s="310">
        <v>0</v>
      </c>
      <c r="AS30" s="178"/>
      <c r="AT30" s="303">
        <f t="shared" si="2"/>
        <v>-774</v>
      </c>
    </row>
    <row r="31" spans="1:46" ht="11.25" customHeight="1" hidden="1" outlineLevel="1">
      <c r="A31" s="307" t="s">
        <v>61</v>
      </c>
      <c r="B31" s="307"/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10">
        <v>0</v>
      </c>
      <c r="N31" s="310">
        <v>0</v>
      </c>
      <c r="O31" s="310">
        <v>0</v>
      </c>
      <c r="P31" s="310">
        <v>0</v>
      </c>
      <c r="Q31" s="310">
        <v>0</v>
      </c>
      <c r="R31" s="310">
        <v>0</v>
      </c>
      <c r="S31" s="310">
        <v>0</v>
      </c>
      <c r="T31" s="310">
        <v>0</v>
      </c>
      <c r="U31" s="310">
        <v>0</v>
      </c>
      <c r="V31" s="310">
        <v>0</v>
      </c>
      <c r="W31" s="310">
        <v>0</v>
      </c>
      <c r="X31" s="310">
        <v>0</v>
      </c>
      <c r="Y31" s="310">
        <v>0</v>
      </c>
      <c r="Z31" s="310">
        <v>0</v>
      </c>
      <c r="AA31" s="310">
        <v>0</v>
      </c>
      <c r="AB31" s="310">
        <v>0</v>
      </c>
      <c r="AC31" s="310">
        <v>0</v>
      </c>
      <c r="AD31" s="310">
        <v>0</v>
      </c>
      <c r="AE31" s="310">
        <v>0</v>
      </c>
      <c r="AF31" s="310">
        <v>0</v>
      </c>
      <c r="AG31" s="310">
        <v>0</v>
      </c>
      <c r="AH31" s="310">
        <v>0</v>
      </c>
      <c r="AI31" s="310">
        <v>0</v>
      </c>
      <c r="AJ31" s="310">
        <v>0</v>
      </c>
      <c r="AK31" s="310">
        <v>0</v>
      </c>
      <c r="AL31" s="310">
        <v>0</v>
      </c>
      <c r="AM31" s="310">
        <v>0</v>
      </c>
      <c r="AN31" s="310">
        <v>0</v>
      </c>
      <c r="AO31" s="310">
        <v>0</v>
      </c>
      <c r="AP31" s="310">
        <v>0</v>
      </c>
      <c r="AQ31" s="310">
        <v>0</v>
      </c>
      <c r="AR31" s="310">
        <v>0</v>
      </c>
      <c r="AS31" s="178"/>
      <c r="AT31" s="303">
        <f t="shared" si="2"/>
        <v>0</v>
      </c>
    </row>
    <row r="32" spans="1:46" ht="11.25" customHeight="1" collapsed="1">
      <c r="A32" s="305" t="s">
        <v>62</v>
      </c>
      <c r="B32" s="305"/>
      <c r="C32" s="184">
        <f>SUM(C23:C31)</f>
        <v>178693</v>
      </c>
      <c r="D32" s="184">
        <f aca="true" t="shared" si="3" ref="D32:AR32">SUM(D23:D31)</f>
        <v>79960</v>
      </c>
      <c r="E32" s="184">
        <f t="shared" si="3"/>
        <v>58158</v>
      </c>
      <c r="F32" s="184">
        <f t="shared" si="3"/>
        <v>411600</v>
      </c>
      <c r="G32" s="184">
        <f t="shared" si="3"/>
        <v>30898</v>
      </c>
      <c r="H32" s="184">
        <f t="shared" si="3"/>
        <v>70925</v>
      </c>
      <c r="I32" s="184">
        <f t="shared" si="3"/>
        <v>2282</v>
      </c>
      <c r="J32" s="184">
        <f t="shared" si="3"/>
        <v>1413</v>
      </c>
      <c r="K32" s="184">
        <f t="shared" si="3"/>
        <v>12924</v>
      </c>
      <c r="L32" s="184">
        <f t="shared" si="3"/>
        <v>7947</v>
      </c>
      <c r="M32" s="184">
        <f t="shared" si="3"/>
        <v>568</v>
      </c>
      <c r="N32" s="184">
        <f t="shared" si="3"/>
        <v>22323</v>
      </c>
      <c r="O32" s="184">
        <f t="shared" si="3"/>
        <v>264736</v>
      </c>
      <c r="P32" s="184">
        <f t="shared" si="3"/>
        <v>148407</v>
      </c>
      <c r="Q32" s="184">
        <f t="shared" si="3"/>
        <v>594343</v>
      </c>
      <c r="R32" s="184">
        <f t="shared" si="3"/>
        <v>178086</v>
      </c>
      <c r="S32" s="184">
        <f t="shared" si="3"/>
        <v>205518</v>
      </c>
      <c r="T32" s="184">
        <f>SUM(T23:T31)</f>
        <v>67068</v>
      </c>
      <c r="U32" s="184">
        <f>SUM(U23:U31)</f>
        <v>208499</v>
      </c>
      <c r="V32" s="184">
        <f t="shared" si="3"/>
        <v>1322</v>
      </c>
      <c r="W32" s="184">
        <f t="shared" si="3"/>
        <v>97193</v>
      </c>
      <c r="X32" s="184">
        <f t="shared" si="3"/>
        <v>15169</v>
      </c>
      <c r="Y32" s="184">
        <f t="shared" si="3"/>
        <v>3236</v>
      </c>
      <c r="Z32" s="184">
        <f t="shared" si="3"/>
        <v>140494</v>
      </c>
      <c r="AA32" s="184">
        <f t="shared" si="3"/>
        <v>1016015</v>
      </c>
      <c r="AB32" s="184">
        <f t="shared" si="3"/>
        <v>148954</v>
      </c>
      <c r="AC32" s="184">
        <f t="shared" si="3"/>
        <v>504160</v>
      </c>
      <c r="AD32" s="184">
        <f t="shared" si="3"/>
        <v>14694</v>
      </c>
      <c r="AE32" s="184">
        <f t="shared" si="3"/>
        <v>6672</v>
      </c>
      <c r="AF32" s="184">
        <f t="shared" si="3"/>
        <v>142681</v>
      </c>
      <c r="AG32" s="184">
        <f t="shared" si="3"/>
        <v>3414</v>
      </c>
      <c r="AH32" s="184">
        <f>SUM(AH23:AH31)</f>
        <v>756631</v>
      </c>
      <c r="AI32" s="184">
        <f>SUM(AI23:AI31)</f>
        <v>497184</v>
      </c>
      <c r="AJ32" s="184">
        <f>SUM(AJ23:AJ31)</f>
        <v>420000</v>
      </c>
      <c r="AK32" s="184">
        <f>SUM(AK23:AK31)</f>
        <v>314603</v>
      </c>
      <c r="AL32" s="184">
        <f t="shared" si="3"/>
        <v>14594</v>
      </c>
      <c r="AM32" s="184">
        <f t="shared" si="3"/>
        <v>4287</v>
      </c>
      <c r="AN32" s="184">
        <f t="shared" si="3"/>
        <v>5986</v>
      </c>
      <c r="AO32" s="184">
        <f>SUM(AO23:AO31)</f>
        <v>30121</v>
      </c>
      <c r="AP32" s="184">
        <f t="shared" si="3"/>
        <v>-1357</v>
      </c>
      <c r="AQ32" s="184">
        <f t="shared" si="3"/>
        <v>-284</v>
      </c>
      <c r="AR32" s="184">
        <f t="shared" si="3"/>
        <v>165392</v>
      </c>
      <c r="AS32" s="178"/>
      <c r="AT32" s="303">
        <f>SUM(AT23:AT31)</f>
        <v>6845509</v>
      </c>
    </row>
    <row r="33" spans="1:46" ht="11.25" customHeight="1">
      <c r="A33" s="305"/>
      <c r="B33" s="305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178"/>
      <c r="AT33" s="303"/>
    </row>
    <row r="34" spans="1:46" ht="11.25" customHeight="1" hidden="1" outlineLevel="1">
      <c r="A34" s="305" t="s">
        <v>63</v>
      </c>
      <c r="B34" s="305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78"/>
      <c r="AT34" s="303"/>
    </row>
    <row r="35" spans="1:46" ht="11.25" customHeight="1" hidden="1" outlineLevel="1">
      <c r="A35" s="307" t="s">
        <v>64</v>
      </c>
      <c r="B35" s="307"/>
      <c r="C35" s="312">
        <v>1395</v>
      </c>
      <c r="D35" s="312">
        <v>466</v>
      </c>
      <c r="E35" s="312">
        <v>78</v>
      </c>
      <c r="F35" s="312">
        <v>1816</v>
      </c>
      <c r="G35" s="312">
        <v>43</v>
      </c>
      <c r="H35" s="312">
        <v>105</v>
      </c>
      <c r="I35" s="312">
        <v>0</v>
      </c>
      <c r="J35" s="312">
        <v>74</v>
      </c>
      <c r="K35" s="312">
        <v>199</v>
      </c>
      <c r="L35" s="312">
        <v>84</v>
      </c>
      <c r="M35" s="312">
        <v>4</v>
      </c>
      <c r="N35" s="312">
        <v>335</v>
      </c>
      <c r="O35" s="312">
        <v>2251</v>
      </c>
      <c r="P35" s="312">
        <v>8209</v>
      </c>
      <c r="Q35" s="312">
        <v>25110</v>
      </c>
      <c r="R35" s="312">
        <v>1848</v>
      </c>
      <c r="S35" s="312">
        <v>1291</v>
      </c>
      <c r="T35" s="312">
        <v>991</v>
      </c>
      <c r="U35" s="312">
        <v>2988</v>
      </c>
      <c r="V35" s="312">
        <v>14</v>
      </c>
      <c r="W35" s="312">
        <v>2005</v>
      </c>
      <c r="X35" s="312">
        <v>486</v>
      </c>
      <c r="Y35" s="312">
        <v>369</v>
      </c>
      <c r="Z35" s="312">
        <v>5281</v>
      </c>
      <c r="AA35" s="312">
        <v>67139</v>
      </c>
      <c r="AB35" s="312">
        <v>4068</v>
      </c>
      <c r="AC35" s="312">
        <v>7054</v>
      </c>
      <c r="AD35" s="312">
        <v>0</v>
      </c>
      <c r="AE35" s="312">
        <v>0</v>
      </c>
      <c r="AF35" s="312">
        <v>0</v>
      </c>
      <c r="AG35" s="312">
        <v>0</v>
      </c>
      <c r="AH35" s="312">
        <v>19035</v>
      </c>
      <c r="AI35" s="312">
        <v>12162</v>
      </c>
      <c r="AJ35" s="312">
        <v>8434</v>
      </c>
      <c r="AK35" s="312">
        <v>2463</v>
      </c>
      <c r="AL35" s="312">
        <v>0</v>
      </c>
      <c r="AM35" s="312">
        <v>0</v>
      </c>
      <c r="AN35" s="312">
        <v>0</v>
      </c>
      <c r="AO35" s="312">
        <v>134</v>
      </c>
      <c r="AP35" s="312">
        <v>131</v>
      </c>
      <c r="AQ35" s="312">
        <v>427</v>
      </c>
      <c r="AR35" s="312">
        <v>3748</v>
      </c>
      <c r="AS35" s="178"/>
      <c r="AT35" s="303">
        <f>SUM(C35:AR35)</f>
        <v>180237</v>
      </c>
    </row>
    <row r="36" spans="1:46" ht="11.25" customHeight="1" hidden="1" outlineLevel="1">
      <c r="A36" s="307" t="s">
        <v>65</v>
      </c>
      <c r="B36" s="307"/>
      <c r="C36" s="312">
        <v>0</v>
      </c>
      <c r="D36" s="312">
        <v>0</v>
      </c>
      <c r="E36" s="312">
        <v>0</v>
      </c>
      <c r="F36" s="312">
        <v>0</v>
      </c>
      <c r="G36" s="312">
        <v>0</v>
      </c>
      <c r="H36" s="312">
        <v>0</v>
      </c>
      <c r="I36" s="312">
        <v>0</v>
      </c>
      <c r="J36" s="312">
        <v>0</v>
      </c>
      <c r="K36" s="312">
        <v>0</v>
      </c>
      <c r="L36" s="312">
        <v>0</v>
      </c>
      <c r="M36" s="312">
        <v>0</v>
      </c>
      <c r="N36" s="312">
        <v>0</v>
      </c>
      <c r="O36" s="312">
        <v>0</v>
      </c>
      <c r="P36" s="312">
        <v>698</v>
      </c>
      <c r="Q36" s="312">
        <v>2067</v>
      </c>
      <c r="R36" s="312">
        <v>493</v>
      </c>
      <c r="S36" s="312">
        <v>88</v>
      </c>
      <c r="T36" s="312">
        <v>0</v>
      </c>
      <c r="U36" s="312">
        <v>0</v>
      </c>
      <c r="V36" s="312">
        <v>0</v>
      </c>
      <c r="W36" s="312">
        <v>0</v>
      </c>
      <c r="X36" s="312">
        <v>0</v>
      </c>
      <c r="Y36" s="312">
        <v>0</v>
      </c>
      <c r="Z36" s="312">
        <v>0</v>
      </c>
      <c r="AA36" s="312">
        <v>0</v>
      </c>
      <c r="AB36" s="312">
        <v>0</v>
      </c>
      <c r="AC36" s="312">
        <v>0</v>
      </c>
      <c r="AD36" s="312">
        <v>0</v>
      </c>
      <c r="AE36" s="312">
        <v>0</v>
      </c>
      <c r="AF36" s="312">
        <v>0</v>
      </c>
      <c r="AG36" s="312">
        <v>0</v>
      </c>
      <c r="AH36" s="312">
        <v>6534</v>
      </c>
      <c r="AI36" s="312">
        <v>1896</v>
      </c>
      <c r="AJ36" s="312">
        <v>667</v>
      </c>
      <c r="AK36" s="312">
        <v>0</v>
      </c>
      <c r="AL36" s="312">
        <v>0</v>
      </c>
      <c r="AM36" s="312">
        <v>0</v>
      </c>
      <c r="AN36" s="312">
        <v>0</v>
      </c>
      <c r="AO36" s="312">
        <v>0</v>
      </c>
      <c r="AP36" s="312">
        <v>0</v>
      </c>
      <c r="AQ36" s="312">
        <v>0</v>
      </c>
      <c r="AR36" s="312">
        <v>756</v>
      </c>
      <c r="AS36" s="178"/>
      <c r="AT36" s="303">
        <f>SUM(C36:AR36)</f>
        <v>13199</v>
      </c>
    </row>
    <row r="37" spans="1:46" ht="11.25" customHeight="1" hidden="1" outlineLevel="1">
      <c r="A37" s="307" t="s">
        <v>66</v>
      </c>
      <c r="B37" s="307"/>
      <c r="C37" s="312">
        <v>0</v>
      </c>
      <c r="D37" s="312">
        <v>0</v>
      </c>
      <c r="E37" s="312">
        <v>0</v>
      </c>
      <c r="F37" s="312">
        <v>0</v>
      </c>
      <c r="G37" s="312">
        <v>0</v>
      </c>
      <c r="H37" s="312">
        <v>0</v>
      </c>
      <c r="I37" s="312">
        <v>0</v>
      </c>
      <c r="J37" s="312">
        <v>0</v>
      </c>
      <c r="K37" s="312">
        <v>0</v>
      </c>
      <c r="L37" s="312">
        <v>0</v>
      </c>
      <c r="M37" s="312">
        <v>0</v>
      </c>
      <c r="N37" s="312">
        <v>0</v>
      </c>
      <c r="O37" s="312">
        <v>0</v>
      </c>
      <c r="P37" s="312">
        <v>0</v>
      </c>
      <c r="Q37" s="312">
        <v>0</v>
      </c>
      <c r="R37" s="312">
        <v>0</v>
      </c>
      <c r="S37" s="312">
        <v>0</v>
      </c>
      <c r="T37" s="312">
        <v>0</v>
      </c>
      <c r="U37" s="312">
        <v>0</v>
      </c>
      <c r="V37" s="312">
        <v>0</v>
      </c>
      <c r="W37" s="312">
        <v>0</v>
      </c>
      <c r="X37" s="312">
        <v>0</v>
      </c>
      <c r="Y37" s="312">
        <v>0</v>
      </c>
      <c r="Z37" s="312">
        <v>0</v>
      </c>
      <c r="AA37" s="312">
        <v>0</v>
      </c>
      <c r="AB37" s="312">
        <v>0</v>
      </c>
      <c r="AC37" s="312">
        <v>0</v>
      </c>
      <c r="AD37" s="312">
        <v>0</v>
      </c>
      <c r="AE37" s="312">
        <v>0</v>
      </c>
      <c r="AF37" s="312">
        <v>0</v>
      </c>
      <c r="AG37" s="312">
        <v>0</v>
      </c>
      <c r="AH37" s="312">
        <v>0</v>
      </c>
      <c r="AI37" s="312">
        <v>0</v>
      </c>
      <c r="AJ37" s="312">
        <v>0</v>
      </c>
      <c r="AK37" s="312">
        <v>0</v>
      </c>
      <c r="AL37" s="312">
        <v>0</v>
      </c>
      <c r="AM37" s="312">
        <v>0</v>
      </c>
      <c r="AN37" s="312">
        <v>0</v>
      </c>
      <c r="AO37" s="312">
        <v>0</v>
      </c>
      <c r="AP37" s="312">
        <v>0</v>
      </c>
      <c r="AQ37" s="312">
        <v>0</v>
      </c>
      <c r="AR37" s="312">
        <v>0</v>
      </c>
      <c r="AS37" s="178"/>
      <c r="AT37" s="303">
        <f>SUM(C37:AR37)</f>
        <v>0</v>
      </c>
    </row>
    <row r="38" spans="1:46" ht="11.25" customHeight="1" hidden="1" outlineLevel="1">
      <c r="A38" s="307" t="s">
        <v>67</v>
      </c>
      <c r="B38" s="307"/>
      <c r="C38" s="312">
        <v>0</v>
      </c>
      <c r="D38" s="312">
        <v>0</v>
      </c>
      <c r="E38" s="312">
        <v>0</v>
      </c>
      <c r="F38" s="312">
        <v>0</v>
      </c>
      <c r="G38" s="312">
        <v>0</v>
      </c>
      <c r="H38" s="312">
        <v>0</v>
      </c>
      <c r="I38" s="312">
        <v>0</v>
      </c>
      <c r="J38" s="312">
        <v>0</v>
      </c>
      <c r="K38" s="312">
        <v>0</v>
      </c>
      <c r="L38" s="312">
        <v>0</v>
      </c>
      <c r="M38" s="312">
        <v>0</v>
      </c>
      <c r="N38" s="312">
        <v>0</v>
      </c>
      <c r="O38" s="312">
        <v>0</v>
      </c>
      <c r="P38" s="312">
        <v>0</v>
      </c>
      <c r="Q38" s="312">
        <v>0</v>
      </c>
      <c r="R38" s="312">
        <v>0</v>
      </c>
      <c r="S38" s="312">
        <v>0</v>
      </c>
      <c r="T38" s="312">
        <v>0</v>
      </c>
      <c r="U38" s="312">
        <v>0</v>
      </c>
      <c r="V38" s="312">
        <v>0</v>
      </c>
      <c r="W38" s="312">
        <v>0</v>
      </c>
      <c r="X38" s="312">
        <v>0</v>
      </c>
      <c r="Y38" s="312">
        <v>0</v>
      </c>
      <c r="Z38" s="312">
        <v>0</v>
      </c>
      <c r="AA38" s="312">
        <v>0</v>
      </c>
      <c r="AB38" s="312">
        <v>0</v>
      </c>
      <c r="AC38" s="312">
        <v>0</v>
      </c>
      <c r="AD38" s="312">
        <v>0</v>
      </c>
      <c r="AE38" s="312">
        <v>0</v>
      </c>
      <c r="AF38" s="312">
        <v>0</v>
      </c>
      <c r="AG38" s="312">
        <v>0</v>
      </c>
      <c r="AH38" s="312">
        <v>0</v>
      </c>
      <c r="AI38" s="312">
        <v>0</v>
      </c>
      <c r="AJ38" s="312">
        <v>0</v>
      </c>
      <c r="AK38" s="312">
        <v>0</v>
      </c>
      <c r="AL38" s="312">
        <v>0</v>
      </c>
      <c r="AM38" s="312">
        <v>0</v>
      </c>
      <c r="AN38" s="312">
        <v>0</v>
      </c>
      <c r="AO38" s="312">
        <v>0</v>
      </c>
      <c r="AP38" s="312">
        <v>0</v>
      </c>
      <c r="AQ38" s="312">
        <v>0</v>
      </c>
      <c r="AR38" s="312">
        <v>0</v>
      </c>
      <c r="AS38" s="178"/>
      <c r="AT38" s="303">
        <f>SUM(C38:AR38)</f>
        <v>0</v>
      </c>
    </row>
    <row r="39" spans="1:46" ht="11.25" customHeight="1" hidden="1" outlineLevel="1">
      <c r="A39" s="307" t="s">
        <v>68</v>
      </c>
      <c r="B39" s="307"/>
      <c r="C39" s="312">
        <v>-2</v>
      </c>
      <c r="D39" s="312">
        <v>3</v>
      </c>
      <c r="E39" s="312">
        <v>0</v>
      </c>
      <c r="F39" s="312">
        <v>0</v>
      </c>
      <c r="G39" s="312">
        <v>0</v>
      </c>
      <c r="H39" s="312">
        <v>0</v>
      </c>
      <c r="I39" s="312">
        <v>0</v>
      </c>
      <c r="J39" s="312">
        <v>0</v>
      </c>
      <c r="K39" s="312">
        <v>0</v>
      </c>
      <c r="L39" s="312">
        <v>0</v>
      </c>
      <c r="M39" s="312">
        <v>0</v>
      </c>
      <c r="N39" s="312">
        <v>0</v>
      </c>
      <c r="O39" s="312">
        <v>0</v>
      </c>
      <c r="P39" s="312">
        <v>0</v>
      </c>
      <c r="Q39" s="312">
        <v>0</v>
      </c>
      <c r="R39" s="312">
        <v>0</v>
      </c>
      <c r="S39" s="312">
        <v>0</v>
      </c>
      <c r="T39" s="312">
        <v>0</v>
      </c>
      <c r="U39" s="312">
        <v>0</v>
      </c>
      <c r="V39" s="312">
        <v>0</v>
      </c>
      <c r="W39" s="312">
        <v>0</v>
      </c>
      <c r="X39" s="312">
        <v>0</v>
      </c>
      <c r="Y39" s="312">
        <v>0</v>
      </c>
      <c r="Z39" s="312">
        <v>0</v>
      </c>
      <c r="AA39" s="312">
        <v>75023</v>
      </c>
      <c r="AB39" s="312">
        <v>4262</v>
      </c>
      <c r="AC39" s="312">
        <v>7054</v>
      </c>
      <c r="AD39" s="312">
        <v>0</v>
      </c>
      <c r="AE39" s="312">
        <v>752</v>
      </c>
      <c r="AF39" s="312">
        <v>1589</v>
      </c>
      <c r="AG39" s="312">
        <v>62</v>
      </c>
      <c r="AH39" s="312">
        <v>0</v>
      </c>
      <c r="AI39" s="312">
        <v>0</v>
      </c>
      <c r="AJ39" s="312">
        <v>0</v>
      </c>
      <c r="AK39" s="312">
        <v>0</v>
      </c>
      <c r="AL39" s="312">
        <v>1687</v>
      </c>
      <c r="AM39" s="312">
        <v>250</v>
      </c>
      <c r="AN39" s="312">
        <v>0</v>
      </c>
      <c r="AO39" s="312">
        <v>0</v>
      </c>
      <c r="AP39" s="312">
        <v>0</v>
      </c>
      <c r="AQ39" s="312">
        <v>0</v>
      </c>
      <c r="AR39" s="312">
        <v>715</v>
      </c>
      <c r="AS39" s="178"/>
      <c r="AT39" s="303">
        <f>SUM(C39:AR39)</f>
        <v>91395</v>
      </c>
    </row>
    <row r="40" spans="1:46" ht="11.25" customHeight="1" collapsed="1">
      <c r="A40" s="305" t="s">
        <v>69</v>
      </c>
      <c r="B40" s="305"/>
      <c r="C40" s="184">
        <f>SUM(C35:C39)</f>
        <v>1393</v>
      </c>
      <c r="D40" s="184">
        <f aca="true" t="shared" si="4" ref="D40:AR40">SUM(D35:D39)</f>
        <v>469</v>
      </c>
      <c r="E40" s="184">
        <f t="shared" si="4"/>
        <v>78</v>
      </c>
      <c r="F40" s="184">
        <f t="shared" si="4"/>
        <v>1816</v>
      </c>
      <c r="G40" s="184">
        <f t="shared" si="4"/>
        <v>43</v>
      </c>
      <c r="H40" s="184">
        <f t="shared" si="4"/>
        <v>105</v>
      </c>
      <c r="I40" s="184">
        <f t="shared" si="4"/>
        <v>0</v>
      </c>
      <c r="J40" s="184">
        <f t="shared" si="4"/>
        <v>74</v>
      </c>
      <c r="K40" s="184">
        <f t="shared" si="4"/>
        <v>199</v>
      </c>
      <c r="L40" s="184">
        <f t="shared" si="4"/>
        <v>84</v>
      </c>
      <c r="M40" s="184">
        <f t="shared" si="4"/>
        <v>4</v>
      </c>
      <c r="N40" s="184">
        <f t="shared" si="4"/>
        <v>335</v>
      </c>
      <c r="O40" s="184">
        <f t="shared" si="4"/>
        <v>2251</v>
      </c>
      <c r="P40" s="184">
        <f t="shared" si="4"/>
        <v>8907</v>
      </c>
      <c r="Q40" s="184">
        <f t="shared" si="4"/>
        <v>27177</v>
      </c>
      <c r="R40" s="184">
        <f t="shared" si="4"/>
        <v>2341</v>
      </c>
      <c r="S40" s="184">
        <f t="shared" si="4"/>
        <v>1379</v>
      </c>
      <c r="T40" s="184">
        <f>SUM(T35:T39)</f>
        <v>991</v>
      </c>
      <c r="U40" s="184">
        <f>SUM(U35:U39)</f>
        <v>2988</v>
      </c>
      <c r="V40" s="184">
        <f t="shared" si="4"/>
        <v>14</v>
      </c>
      <c r="W40" s="184">
        <f t="shared" si="4"/>
        <v>2005</v>
      </c>
      <c r="X40" s="184">
        <f t="shared" si="4"/>
        <v>486</v>
      </c>
      <c r="Y40" s="184">
        <f t="shared" si="4"/>
        <v>369</v>
      </c>
      <c r="Z40" s="184">
        <f t="shared" si="4"/>
        <v>5281</v>
      </c>
      <c r="AA40" s="184">
        <f t="shared" si="4"/>
        <v>142162</v>
      </c>
      <c r="AB40" s="184">
        <f t="shared" si="4"/>
        <v>8330</v>
      </c>
      <c r="AC40" s="184">
        <f t="shared" si="4"/>
        <v>14108</v>
      </c>
      <c r="AD40" s="184">
        <f t="shared" si="4"/>
        <v>0</v>
      </c>
      <c r="AE40" s="184">
        <f t="shared" si="4"/>
        <v>752</v>
      </c>
      <c r="AF40" s="184">
        <f t="shared" si="4"/>
        <v>1589</v>
      </c>
      <c r="AG40" s="184">
        <f t="shared" si="4"/>
        <v>62</v>
      </c>
      <c r="AH40" s="184">
        <f>SUM(AH35:AH39)</f>
        <v>25569</v>
      </c>
      <c r="AI40" s="184">
        <f>SUM(AI35:AI39)</f>
        <v>14058</v>
      </c>
      <c r="AJ40" s="184">
        <f>SUM(AJ35:AJ39)</f>
        <v>9101</v>
      </c>
      <c r="AK40" s="184">
        <f>SUM(AK35:AK39)</f>
        <v>2463</v>
      </c>
      <c r="AL40" s="184">
        <f t="shared" si="4"/>
        <v>1687</v>
      </c>
      <c r="AM40" s="184">
        <f t="shared" si="4"/>
        <v>250</v>
      </c>
      <c r="AN40" s="184">
        <f t="shared" si="4"/>
        <v>0</v>
      </c>
      <c r="AO40" s="184">
        <f>SUM(AO35:AO39)</f>
        <v>134</v>
      </c>
      <c r="AP40" s="184">
        <f t="shared" si="4"/>
        <v>131</v>
      </c>
      <c r="AQ40" s="184">
        <f t="shared" si="4"/>
        <v>427</v>
      </c>
      <c r="AR40" s="184">
        <f t="shared" si="4"/>
        <v>5219</v>
      </c>
      <c r="AS40" s="178"/>
      <c r="AT40" s="303">
        <f>SUM(AT35:AT39)</f>
        <v>284831</v>
      </c>
    </row>
    <row r="41" spans="1:46" ht="11.25" customHeight="1">
      <c r="A41" s="305"/>
      <c r="B41" s="305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178"/>
      <c r="AT41" s="303"/>
    </row>
    <row r="42" spans="1:46" ht="11.25" customHeight="1" hidden="1" outlineLevel="1">
      <c r="A42" s="305" t="s">
        <v>70</v>
      </c>
      <c r="B42" s="30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78"/>
      <c r="AT42" s="303"/>
    </row>
    <row r="43" spans="1:46" ht="11.25" customHeight="1" hidden="1" outlineLevel="1">
      <c r="A43" s="307" t="s">
        <v>64</v>
      </c>
      <c r="B43" s="307"/>
      <c r="C43" s="314">
        <v>3027</v>
      </c>
      <c r="D43" s="314">
        <v>1012</v>
      </c>
      <c r="E43" s="314">
        <v>354</v>
      </c>
      <c r="F43" s="314">
        <v>1668</v>
      </c>
      <c r="G43" s="314">
        <v>3585</v>
      </c>
      <c r="H43" s="314">
        <v>6632</v>
      </c>
      <c r="I43" s="314">
        <v>0</v>
      </c>
      <c r="J43" s="314">
        <v>75</v>
      </c>
      <c r="K43" s="314">
        <v>199</v>
      </c>
      <c r="L43" s="314">
        <v>84</v>
      </c>
      <c r="M43" s="314">
        <v>4</v>
      </c>
      <c r="N43" s="314">
        <v>335</v>
      </c>
      <c r="O43" s="314">
        <v>2255</v>
      </c>
      <c r="P43" s="314">
        <v>11480</v>
      </c>
      <c r="Q43" s="314">
        <v>32637</v>
      </c>
      <c r="R43" s="314">
        <v>2752</v>
      </c>
      <c r="S43" s="314">
        <v>1799</v>
      </c>
      <c r="T43" s="314">
        <v>2044</v>
      </c>
      <c r="U43" s="314">
        <v>6163</v>
      </c>
      <c r="V43" s="314">
        <v>17</v>
      </c>
      <c r="W43" s="314">
        <v>2460</v>
      </c>
      <c r="X43" s="314">
        <v>596</v>
      </c>
      <c r="Y43" s="314">
        <v>452</v>
      </c>
      <c r="Z43" s="314">
        <v>12151</v>
      </c>
      <c r="AA43" s="314">
        <v>60616</v>
      </c>
      <c r="AB43" s="314">
        <v>3767</v>
      </c>
      <c r="AC43" s="314">
        <v>6326</v>
      </c>
      <c r="AD43" s="314">
        <v>625</v>
      </c>
      <c r="AE43" s="314">
        <v>120</v>
      </c>
      <c r="AF43" s="314">
        <v>1588</v>
      </c>
      <c r="AG43" s="314">
        <v>62</v>
      </c>
      <c r="AH43" s="314">
        <v>38912</v>
      </c>
      <c r="AI43" s="314">
        <v>24899</v>
      </c>
      <c r="AJ43" s="314">
        <v>17284</v>
      </c>
      <c r="AK43" s="314">
        <v>5020</v>
      </c>
      <c r="AL43" s="314">
        <v>100</v>
      </c>
      <c r="AM43" s="314">
        <v>100</v>
      </c>
      <c r="AN43" s="314">
        <v>100</v>
      </c>
      <c r="AO43" s="314">
        <v>610</v>
      </c>
      <c r="AP43" s="314">
        <v>44</v>
      </c>
      <c r="AQ43" s="314">
        <v>142</v>
      </c>
      <c r="AR43" s="314">
        <v>0</v>
      </c>
      <c r="AS43" s="178"/>
      <c r="AT43" s="303">
        <f>SUM(C43:AR43)</f>
        <v>252096</v>
      </c>
    </row>
    <row r="44" spans="1:46" ht="11.25" customHeight="1" hidden="1" outlineLevel="1">
      <c r="A44" s="307" t="s">
        <v>71</v>
      </c>
      <c r="B44" s="307"/>
      <c r="C44" s="314">
        <v>0</v>
      </c>
      <c r="D44" s="314">
        <v>0</v>
      </c>
      <c r="E44" s="314">
        <v>0</v>
      </c>
      <c r="F44" s="314">
        <v>0</v>
      </c>
      <c r="G44" s="314">
        <v>0</v>
      </c>
      <c r="H44" s="314">
        <v>0</v>
      </c>
      <c r="I44" s="314">
        <v>0</v>
      </c>
      <c r="J44" s="314">
        <v>0</v>
      </c>
      <c r="K44" s="314">
        <v>0</v>
      </c>
      <c r="L44" s="314">
        <v>0</v>
      </c>
      <c r="M44" s="314">
        <v>0</v>
      </c>
      <c r="N44" s="314">
        <v>0</v>
      </c>
      <c r="O44" s="314">
        <v>0</v>
      </c>
      <c r="P44" s="314">
        <v>0</v>
      </c>
      <c r="Q44" s="314">
        <v>0</v>
      </c>
      <c r="R44" s="314">
        <v>0</v>
      </c>
      <c r="S44" s="314">
        <v>0</v>
      </c>
      <c r="T44" s="314">
        <v>0</v>
      </c>
      <c r="U44" s="314">
        <v>0</v>
      </c>
      <c r="V44" s="314">
        <v>0</v>
      </c>
      <c r="W44" s="314">
        <v>0</v>
      </c>
      <c r="X44" s="314">
        <v>0</v>
      </c>
      <c r="Y44" s="314">
        <v>0</v>
      </c>
      <c r="Z44" s="314">
        <v>0</v>
      </c>
      <c r="AA44" s="314">
        <v>0</v>
      </c>
      <c r="AB44" s="314">
        <v>0</v>
      </c>
      <c r="AC44" s="314">
        <v>0</v>
      </c>
      <c r="AD44" s="314">
        <v>0</v>
      </c>
      <c r="AE44" s="314">
        <v>0</v>
      </c>
      <c r="AF44" s="314">
        <v>0</v>
      </c>
      <c r="AG44" s="314">
        <v>0</v>
      </c>
      <c r="AH44" s="314">
        <v>0</v>
      </c>
      <c r="AI44" s="314">
        <v>0</v>
      </c>
      <c r="AJ44" s="314">
        <v>0</v>
      </c>
      <c r="AK44" s="314">
        <v>0</v>
      </c>
      <c r="AL44" s="314">
        <v>0</v>
      </c>
      <c r="AM44" s="314">
        <v>0</v>
      </c>
      <c r="AN44" s="314">
        <v>0</v>
      </c>
      <c r="AO44" s="314">
        <v>0</v>
      </c>
      <c r="AP44" s="314">
        <v>0</v>
      </c>
      <c r="AQ44" s="314">
        <v>0</v>
      </c>
      <c r="AR44" s="314">
        <v>0</v>
      </c>
      <c r="AS44" s="178"/>
      <c r="AT44" s="303">
        <f>SUM(C44:AR44)</f>
        <v>0</v>
      </c>
    </row>
    <row r="45" spans="1:46" ht="11.25" customHeight="1" collapsed="1">
      <c r="A45" s="305" t="s">
        <v>70</v>
      </c>
      <c r="B45" s="305"/>
      <c r="C45" s="184">
        <f aca="true" t="shared" si="5" ref="C45:AR45">SUM(C43:C44)</f>
        <v>3027</v>
      </c>
      <c r="D45" s="184">
        <f t="shared" si="5"/>
        <v>1012</v>
      </c>
      <c r="E45" s="184">
        <f t="shared" si="5"/>
        <v>354</v>
      </c>
      <c r="F45" s="184">
        <f t="shared" si="5"/>
        <v>1668</v>
      </c>
      <c r="G45" s="184">
        <f t="shared" si="5"/>
        <v>3585</v>
      </c>
      <c r="H45" s="184">
        <f t="shared" si="5"/>
        <v>6632</v>
      </c>
      <c r="I45" s="184">
        <f t="shared" si="5"/>
        <v>0</v>
      </c>
      <c r="J45" s="184">
        <f t="shared" si="5"/>
        <v>75</v>
      </c>
      <c r="K45" s="184">
        <f t="shared" si="5"/>
        <v>199</v>
      </c>
      <c r="L45" s="184">
        <f t="shared" si="5"/>
        <v>84</v>
      </c>
      <c r="M45" s="184">
        <f t="shared" si="5"/>
        <v>4</v>
      </c>
      <c r="N45" s="184">
        <f t="shared" si="5"/>
        <v>335</v>
      </c>
      <c r="O45" s="184">
        <f t="shared" si="5"/>
        <v>2255</v>
      </c>
      <c r="P45" s="184">
        <f t="shared" si="5"/>
        <v>11480</v>
      </c>
      <c r="Q45" s="184">
        <f t="shared" si="5"/>
        <v>32637</v>
      </c>
      <c r="R45" s="184">
        <f t="shared" si="5"/>
        <v>2752</v>
      </c>
      <c r="S45" s="184">
        <f t="shared" si="5"/>
        <v>1799</v>
      </c>
      <c r="T45" s="184">
        <f>SUM(T43:T44)</f>
        <v>2044</v>
      </c>
      <c r="U45" s="184">
        <f>SUM(U43:U44)</f>
        <v>6163</v>
      </c>
      <c r="V45" s="184">
        <f t="shared" si="5"/>
        <v>17</v>
      </c>
      <c r="W45" s="184">
        <f t="shared" si="5"/>
        <v>2460</v>
      </c>
      <c r="X45" s="184">
        <f t="shared" si="5"/>
        <v>596</v>
      </c>
      <c r="Y45" s="184">
        <f t="shared" si="5"/>
        <v>452</v>
      </c>
      <c r="Z45" s="184">
        <f t="shared" si="5"/>
        <v>12151</v>
      </c>
      <c r="AA45" s="184">
        <f t="shared" si="5"/>
        <v>60616</v>
      </c>
      <c r="AB45" s="184">
        <f t="shared" si="5"/>
        <v>3767</v>
      </c>
      <c r="AC45" s="184">
        <f t="shared" si="5"/>
        <v>6326</v>
      </c>
      <c r="AD45" s="184">
        <f t="shared" si="5"/>
        <v>625</v>
      </c>
      <c r="AE45" s="184">
        <f t="shared" si="5"/>
        <v>120</v>
      </c>
      <c r="AF45" s="184">
        <f t="shared" si="5"/>
        <v>1588</v>
      </c>
      <c r="AG45" s="184">
        <f t="shared" si="5"/>
        <v>62</v>
      </c>
      <c r="AH45" s="184">
        <f>SUM(AH43:AH44)</f>
        <v>38912</v>
      </c>
      <c r="AI45" s="184">
        <f>SUM(AI43:AI44)</f>
        <v>24899</v>
      </c>
      <c r="AJ45" s="184">
        <f>SUM(AJ43:AJ44)</f>
        <v>17284</v>
      </c>
      <c r="AK45" s="184">
        <f>SUM(AK43:AK44)</f>
        <v>5020</v>
      </c>
      <c r="AL45" s="184">
        <f t="shared" si="5"/>
        <v>100</v>
      </c>
      <c r="AM45" s="184">
        <f t="shared" si="5"/>
        <v>100</v>
      </c>
      <c r="AN45" s="184">
        <f t="shared" si="5"/>
        <v>100</v>
      </c>
      <c r="AO45" s="184">
        <f>SUM(AO43:AO44)</f>
        <v>610</v>
      </c>
      <c r="AP45" s="184">
        <f t="shared" si="5"/>
        <v>44</v>
      </c>
      <c r="AQ45" s="184">
        <f t="shared" si="5"/>
        <v>142</v>
      </c>
      <c r="AR45" s="184">
        <f t="shared" si="5"/>
        <v>0</v>
      </c>
      <c r="AS45" s="178"/>
      <c r="AT45" s="303">
        <f>SUM(AT43:AT44)</f>
        <v>252096</v>
      </c>
    </row>
    <row r="46" spans="1:46" ht="11.25" customHeight="1">
      <c r="A46" s="307"/>
      <c r="B46" s="307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178"/>
      <c r="AT46" s="303"/>
    </row>
    <row r="47" spans="1:46" ht="11.25" customHeight="1">
      <c r="A47" s="305" t="s">
        <v>72</v>
      </c>
      <c r="B47" s="305"/>
      <c r="C47" s="316">
        <v>0</v>
      </c>
      <c r="D47" s="316">
        <v>0</v>
      </c>
      <c r="E47" s="316">
        <v>0</v>
      </c>
      <c r="F47" s="316">
        <v>0</v>
      </c>
      <c r="G47" s="316">
        <v>217</v>
      </c>
      <c r="H47" s="316">
        <v>139</v>
      </c>
      <c r="I47" s="316">
        <v>0</v>
      </c>
      <c r="J47" s="316">
        <v>0</v>
      </c>
      <c r="K47" s="316">
        <v>0</v>
      </c>
      <c r="L47" s="316">
        <v>0</v>
      </c>
      <c r="M47" s="316">
        <v>0</v>
      </c>
      <c r="N47" s="316">
        <v>0</v>
      </c>
      <c r="O47" s="316">
        <v>0</v>
      </c>
      <c r="P47" s="316">
        <v>0</v>
      </c>
      <c r="Q47" s="316">
        <v>0</v>
      </c>
      <c r="R47" s="316">
        <v>0</v>
      </c>
      <c r="S47" s="316">
        <v>0</v>
      </c>
      <c r="T47" s="316">
        <v>0</v>
      </c>
      <c r="U47" s="316">
        <v>0</v>
      </c>
      <c r="V47" s="316">
        <v>0</v>
      </c>
      <c r="W47" s="316">
        <v>0</v>
      </c>
      <c r="X47" s="316">
        <v>0</v>
      </c>
      <c r="Y47" s="316">
        <v>0</v>
      </c>
      <c r="Z47" s="316">
        <v>0</v>
      </c>
      <c r="AA47" s="316">
        <v>0</v>
      </c>
      <c r="AB47" s="316">
        <v>0</v>
      </c>
      <c r="AC47" s="316">
        <v>0</v>
      </c>
      <c r="AD47" s="316">
        <v>0</v>
      </c>
      <c r="AE47" s="316">
        <v>0</v>
      </c>
      <c r="AF47" s="316">
        <v>0</v>
      </c>
      <c r="AG47" s="316">
        <v>0</v>
      </c>
      <c r="AH47" s="316">
        <v>0</v>
      </c>
      <c r="AI47" s="316">
        <v>0</v>
      </c>
      <c r="AJ47" s="316">
        <v>0</v>
      </c>
      <c r="AK47" s="316">
        <v>0</v>
      </c>
      <c r="AL47" s="316">
        <v>0</v>
      </c>
      <c r="AM47" s="316">
        <v>0</v>
      </c>
      <c r="AN47" s="316">
        <v>0</v>
      </c>
      <c r="AO47" s="316">
        <v>0</v>
      </c>
      <c r="AP47" s="316">
        <v>0</v>
      </c>
      <c r="AQ47" s="316">
        <v>0</v>
      </c>
      <c r="AR47" s="316">
        <v>0</v>
      </c>
      <c r="AS47" s="178"/>
      <c r="AT47" s="303">
        <f>SUM(C47:AR47)</f>
        <v>356</v>
      </c>
    </row>
    <row r="48" spans="1:46" ht="11.25" customHeight="1">
      <c r="A48" s="307"/>
      <c r="B48" s="307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78"/>
      <c r="AT48" s="303"/>
    </row>
    <row r="49" spans="1:46" ht="11.25" customHeight="1">
      <c r="A49" s="305" t="s">
        <v>73</v>
      </c>
      <c r="B49" s="305"/>
      <c r="C49" s="317">
        <v>0</v>
      </c>
      <c r="D49" s="317">
        <v>0</v>
      </c>
      <c r="E49" s="317">
        <v>0</v>
      </c>
      <c r="F49" s="317">
        <v>0</v>
      </c>
      <c r="G49" s="317">
        <v>0</v>
      </c>
      <c r="H49" s="317">
        <v>0</v>
      </c>
      <c r="I49" s="317">
        <v>0</v>
      </c>
      <c r="J49" s="317">
        <v>0</v>
      </c>
      <c r="K49" s="317">
        <v>0</v>
      </c>
      <c r="L49" s="317">
        <v>0</v>
      </c>
      <c r="M49" s="317">
        <v>0</v>
      </c>
      <c r="N49" s="317">
        <v>0</v>
      </c>
      <c r="O49" s="317">
        <v>0</v>
      </c>
      <c r="P49" s="317">
        <v>0</v>
      </c>
      <c r="Q49" s="317">
        <v>0</v>
      </c>
      <c r="R49" s="317">
        <v>0</v>
      </c>
      <c r="S49" s="317">
        <v>0</v>
      </c>
      <c r="T49" s="317">
        <v>0</v>
      </c>
      <c r="U49" s="317">
        <v>0</v>
      </c>
      <c r="V49" s="317">
        <v>0</v>
      </c>
      <c r="W49" s="317">
        <v>0</v>
      </c>
      <c r="X49" s="317">
        <v>0</v>
      </c>
      <c r="Y49" s="317">
        <v>0</v>
      </c>
      <c r="Z49" s="317">
        <v>0</v>
      </c>
      <c r="AA49" s="317">
        <v>0</v>
      </c>
      <c r="AB49" s="317">
        <v>0</v>
      </c>
      <c r="AC49" s="317">
        <v>0</v>
      </c>
      <c r="AD49" s="317">
        <v>0</v>
      </c>
      <c r="AE49" s="317">
        <v>0</v>
      </c>
      <c r="AF49" s="317">
        <v>0</v>
      </c>
      <c r="AG49" s="317">
        <v>0</v>
      </c>
      <c r="AH49" s="317">
        <v>0</v>
      </c>
      <c r="AI49" s="317">
        <v>0</v>
      </c>
      <c r="AJ49" s="317">
        <v>0</v>
      </c>
      <c r="AK49" s="317">
        <v>0</v>
      </c>
      <c r="AL49" s="317">
        <v>0</v>
      </c>
      <c r="AM49" s="317">
        <v>0</v>
      </c>
      <c r="AN49" s="317">
        <v>0</v>
      </c>
      <c r="AO49" s="317">
        <v>0</v>
      </c>
      <c r="AP49" s="317">
        <v>0</v>
      </c>
      <c r="AQ49" s="317">
        <v>0</v>
      </c>
      <c r="AR49" s="317">
        <v>0</v>
      </c>
      <c r="AS49" s="178"/>
      <c r="AT49" s="303">
        <f>SUM(C49:AR49)</f>
        <v>0</v>
      </c>
    </row>
    <row r="50" spans="1:46" ht="11.25" customHeight="1">
      <c r="A50" s="307"/>
      <c r="B50" s="307"/>
      <c r="C50" s="184"/>
      <c r="D50" s="184"/>
      <c r="E50" s="184"/>
      <c r="F50" s="183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3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78"/>
      <c r="AT50" s="303"/>
    </row>
    <row r="51" spans="1:46" ht="11.25" customHeight="1">
      <c r="A51" s="305" t="s">
        <v>74</v>
      </c>
      <c r="B51" s="305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178"/>
      <c r="AT51" s="303"/>
    </row>
    <row r="52" spans="1:46" ht="11.25" customHeight="1">
      <c r="A52" s="305" t="s">
        <v>75</v>
      </c>
      <c r="B52" s="305"/>
      <c r="C52" s="184">
        <f>+C13-C20+C32-C40-C45+C47-C49</f>
        <v>511554</v>
      </c>
      <c r="D52" s="184">
        <f aca="true" t="shared" si="6" ref="D52:AR52">+D13-D20+D32-D40-D45+D47-D49</f>
        <v>296010</v>
      </c>
      <c r="E52" s="184">
        <f t="shared" si="6"/>
        <v>98315</v>
      </c>
      <c r="F52" s="184">
        <f t="shared" si="6"/>
        <v>881118</v>
      </c>
      <c r="G52" s="184">
        <f t="shared" si="6"/>
        <v>113341</v>
      </c>
      <c r="H52" s="184">
        <f t="shared" si="6"/>
        <v>140140</v>
      </c>
      <c r="I52" s="184">
        <f t="shared" si="6"/>
        <v>266</v>
      </c>
      <c r="J52" s="184">
        <f t="shared" si="6"/>
        <v>13552</v>
      </c>
      <c r="K52" s="184">
        <f t="shared" si="6"/>
        <v>66698</v>
      </c>
      <c r="L52" s="184">
        <f t="shared" si="6"/>
        <v>16551</v>
      </c>
      <c r="M52" s="184">
        <f t="shared" si="6"/>
        <v>-57</v>
      </c>
      <c r="N52" s="184">
        <f t="shared" si="6"/>
        <v>21515</v>
      </c>
      <c r="O52" s="184">
        <f t="shared" si="6"/>
        <v>288091</v>
      </c>
      <c r="P52" s="184">
        <f t="shared" si="6"/>
        <v>1804983</v>
      </c>
      <c r="Q52" s="184">
        <f t="shared" si="6"/>
        <v>2599271</v>
      </c>
      <c r="R52" s="184">
        <f t="shared" si="6"/>
        <v>609106</v>
      </c>
      <c r="S52" s="184">
        <f t="shared" si="6"/>
        <v>750366</v>
      </c>
      <c r="T52" s="184">
        <f>+T13-T20+T32-T40-T45+T47-T49</f>
        <v>133326</v>
      </c>
      <c r="U52" s="184">
        <f>+U13-U20+U32-U40-U45+U47-U49</f>
        <v>309259</v>
      </c>
      <c r="V52" s="184">
        <f t="shared" si="6"/>
        <v>4188</v>
      </c>
      <c r="W52" s="184">
        <f t="shared" si="6"/>
        <v>192725</v>
      </c>
      <c r="X52" s="184">
        <f t="shared" si="6"/>
        <v>17538</v>
      </c>
      <c r="Y52" s="184">
        <f t="shared" si="6"/>
        <v>15222</v>
      </c>
      <c r="Z52" s="184">
        <f t="shared" si="6"/>
        <v>72980</v>
      </c>
      <c r="AA52" s="184">
        <f t="shared" si="6"/>
        <v>4585832</v>
      </c>
      <c r="AB52" s="184">
        <f t="shared" si="6"/>
        <v>326885</v>
      </c>
      <c r="AC52" s="184">
        <f t="shared" si="6"/>
        <v>352386</v>
      </c>
      <c r="AD52" s="184">
        <f t="shared" si="6"/>
        <v>54093</v>
      </c>
      <c r="AE52" s="184">
        <f t="shared" si="6"/>
        <v>28994</v>
      </c>
      <c r="AF52" s="184">
        <f t="shared" si="6"/>
        <v>549238</v>
      </c>
      <c r="AG52" s="184">
        <f t="shared" si="6"/>
        <v>61887</v>
      </c>
      <c r="AH52" s="184">
        <f>+AH13-AH20+AH32-AH40-AH45+AH47-AH49</f>
        <v>3353790</v>
      </c>
      <c r="AI52" s="184">
        <f>+AI13-AI20+AI32-AI40-AI45+AI47-AI49</f>
        <v>1944740</v>
      </c>
      <c r="AJ52" s="184">
        <f>+AJ13-AJ20+AJ32-AJ40-AJ45+AJ47-AJ49</f>
        <v>1269947</v>
      </c>
      <c r="AK52" s="184">
        <f>+AK13-AK20+AK32-AK40-AK45+AK47-AK49</f>
        <v>693614</v>
      </c>
      <c r="AL52" s="184">
        <f t="shared" si="6"/>
        <v>86380</v>
      </c>
      <c r="AM52" s="184">
        <f t="shared" si="6"/>
        <v>17349</v>
      </c>
      <c r="AN52" s="184">
        <f t="shared" si="6"/>
        <v>3620</v>
      </c>
      <c r="AO52" s="184">
        <f>+AO13-AO20+AO32-AO40-AO45+AO47-AO49</f>
        <v>41779</v>
      </c>
      <c r="AP52" s="184">
        <f t="shared" si="6"/>
        <v>1759</v>
      </c>
      <c r="AQ52" s="184">
        <f t="shared" si="6"/>
        <v>15610</v>
      </c>
      <c r="AR52" s="184">
        <f t="shared" si="6"/>
        <v>263770</v>
      </c>
      <c r="AS52" s="184"/>
      <c r="AT52" s="184">
        <f>+AT13-AT20+AT32-AT40-AT45+AT47-AT49</f>
        <v>22607731</v>
      </c>
    </row>
    <row r="53" spans="1:46" ht="11.25" customHeight="1">
      <c r="A53" s="307"/>
      <c r="B53" s="307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78"/>
      <c r="AT53" s="303"/>
    </row>
    <row r="54" spans="1:46" ht="11.25" customHeight="1" hidden="1" outlineLevel="1">
      <c r="A54" s="305" t="s">
        <v>76</v>
      </c>
      <c r="B54" s="305"/>
      <c r="C54" s="184">
        <f>SUM(C55:C56)</f>
        <v>0</v>
      </c>
      <c r="D54" s="184">
        <f aca="true" t="shared" si="7" ref="D54:AR54">SUM(D55:D56)</f>
        <v>0</v>
      </c>
      <c r="E54" s="184">
        <f t="shared" si="7"/>
        <v>0</v>
      </c>
      <c r="F54" s="184">
        <f t="shared" si="7"/>
        <v>0</v>
      </c>
      <c r="G54" s="184">
        <f t="shared" si="7"/>
        <v>0</v>
      </c>
      <c r="H54" s="184">
        <f t="shared" si="7"/>
        <v>0</v>
      </c>
      <c r="I54" s="184">
        <f t="shared" si="7"/>
        <v>0</v>
      </c>
      <c r="J54" s="184">
        <f t="shared" si="7"/>
        <v>0</v>
      </c>
      <c r="K54" s="184">
        <f t="shared" si="7"/>
        <v>0</v>
      </c>
      <c r="L54" s="184">
        <f t="shared" si="7"/>
        <v>0</v>
      </c>
      <c r="M54" s="184">
        <f t="shared" si="7"/>
        <v>0</v>
      </c>
      <c r="N54" s="184">
        <f t="shared" si="7"/>
        <v>0</v>
      </c>
      <c r="O54" s="184">
        <f t="shared" si="7"/>
        <v>0</v>
      </c>
      <c r="P54" s="184">
        <f t="shared" si="7"/>
        <v>0</v>
      </c>
      <c r="Q54" s="184">
        <f t="shared" si="7"/>
        <v>0</v>
      </c>
      <c r="R54" s="184">
        <f t="shared" si="7"/>
        <v>0</v>
      </c>
      <c r="S54" s="184">
        <f t="shared" si="7"/>
        <v>0</v>
      </c>
      <c r="T54" s="184">
        <f>SUM(T55:T56)</f>
        <v>0</v>
      </c>
      <c r="U54" s="184">
        <f>SUM(U55:U56)</f>
        <v>0</v>
      </c>
      <c r="V54" s="184">
        <f t="shared" si="7"/>
        <v>0</v>
      </c>
      <c r="W54" s="184">
        <f t="shared" si="7"/>
        <v>0</v>
      </c>
      <c r="X54" s="184">
        <f t="shared" si="7"/>
        <v>0</v>
      </c>
      <c r="Y54" s="184">
        <f t="shared" si="7"/>
        <v>0</v>
      </c>
      <c r="Z54" s="184">
        <f t="shared" si="7"/>
        <v>0</v>
      </c>
      <c r="AA54" s="184">
        <f t="shared" si="7"/>
        <v>0</v>
      </c>
      <c r="AB54" s="184">
        <f t="shared" si="7"/>
        <v>0</v>
      </c>
      <c r="AC54" s="184">
        <f t="shared" si="7"/>
        <v>0</v>
      </c>
      <c r="AD54" s="184">
        <f t="shared" si="7"/>
        <v>0</v>
      </c>
      <c r="AE54" s="184">
        <f t="shared" si="7"/>
        <v>0</v>
      </c>
      <c r="AF54" s="184">
        <f t="shared" si="7"/>
        <v>0</v>
      </c>
      <c r="AG54" s="184">
        <f t="shared" si="7"/>
        <v>0</v>
      </c>
      <c r="AH54" s="184">
        <f>SUM(AH55:AH56)</f>
        <v>0</v>
      </c>
      <c r="AI54" s="184">
        <f>SUM(AI55:AI56)</f>
        <v>0</v>
      </c>
      <c r="AJ54" s="184">
        <f>SUM(AJ55:AJ56)</f>
        <v>0</v>
      </c>
      <c r="AK54" s="184">
        <f>SUM(AK55:AK56)</f>
        <v>0</v>
      </c>
      <c r="AL54" s="184">
        <f t="shared" si="7"/>
        <v>0</v>
      </c>
      <c r="AM54" s="184">
        <f t="shared" si="7"/>
        <v>0</v>
      </c>
      <c r="AN54" s="184">
        <f t="shared" si="7"/>
        <v>0</v>
      </c>
      <c r="AO54" s="184">
        <f>SUM(AO55:AO56)</f>
        <v>0</v>
      </c>
      <c r="AP54" s="184">
        <f t="shared" si="7"/>
        <v>0</v>
      </c>
      <c r="AQ54" s="184">
        <f t="shared" si="7"/>
        <v>0</v>
      </c>
      <c r="AR54" s="184">
        <f t="shared" si="7"/>
        <v>0</v>
      </c>
      <c r="AS54" s="184"/>
      <c r="AT54" s="184">
        <f>SUM(AT55:AT56)</f>
        <v>0</v>
      </c>
    </row>
    <row r="55" spans="1:46" ht="11.25" customHeight="1" hidden="1" outlineLevel="1">
      <c r="A55" s="307" t="s">
        <v>77</v>
      </c>
      <c r="B55" s="307"/>
      <c r="C55" s="184">
        <v>0</v>
      </c>
      <c r="D55" s="184">
        <v>0</v>
      </c>
      <c r="E55" s="184">
        <v>0</v>
      </c>
      <c r="F55" s="183">
        <v>0</v>
      </c>
      <c r="G55" s="184">
        <v>0</v>
      </c>
      <c r="H55" s="184">
        <v>0</v>
      </c>
      <c r="I55" s="184">
        <v>0</v>
      </c>
      <c r="J55" s="184">
        <v>0</v>
      </c>
      <c r="K55" s="184">
        <v>0</v>
      </c>
      <c r="L55" s="184">
        <v>0</v>
      </c>
      <c r="M55" s="184">
        <v>0</v>
      </c>
      <c r="N55" s="184">
        <v>0</v>
      </c>
      <c r="O55" s="184">
        <v>0</v>
      </c>
      <c r="P55" s="184">
        <v>0</v>
      </c>
      <c r="Q55" s="184">
        <v>0</v>
      </c>
      <c r="R55" s="184">
        <v>0</v>
      </c>
      <c r="S55" s="184">
        <v>0</v>
      </c>
      <c r="T55" s="184">
        <v>0</v>
      </c>
      <c r="U55" s="184">
        <v>0</v>
      </c>
      <c r="V55" s="184">
        <v>0</v>
      </c>
      <c r="W55" s="184">
        <v>0</v>
      </c>
      <c r="X55" s="184">
        <v>0</v>
      </c>
      <c r="Y55" s="184">
        <v>0</v>
      </c>
      <c r="Z55" s="184">
        <v>0</v>
      </c>
      <c r="AA55" s="184">
        <v>0</v>
      </c>
      <c r="AB55" s="184">
        <v>0</v>
      </c>
      <c r="AC55" s="184">
        <v>0</v>
      </c>
      <c r="AD55" s="184">
        <v>0</v>
      </c>
      <c r="AE55" s="183">
        <v>0</v>
      </c>
      <c r="AF55" s="184">
        <v>0</v>
      </c>
      <c r="AG55" s="184">
        <v>0</v>
      </c>
      <c r="AH55" s="184">
        <v>0</v>
      </c>
      <c r="AI55" s="184">
        <v>0</v>
      </c>
      <c r="AJ55" s="184">
        <v>0</v>
      </c>
      <c r="AK55" s="184">
        <v>0</v>
      </c>
      <c r="AL55" s="184">
        <v>0</v>
      </c>
      <c r="AM55" s="184">
        <v>0</v>
      </c>
      <c r="AN55" s="184">
        <v>0</v>
      </c>
      <c r="AO55" s="184">
        <v>0</v>
      </c>
      <c r="AP55" s="184">
        <v>0</v>
      </c>
      <c r="AQ55" s="184">
        <v>0</v>
      </c>
      <c r="AR55" s="184">
        <v>0</v>
      </c>
      <c r="AS55" s="178"/>
      <c r="AT55" s="303">
        <f>SUM(C55:AR55)</f>
        <v>0</v>
      </c>
    </row>
    <row r="56" spans="1:46" ht="11.25" customHeight="1" hidden="1" outlineLevel="1">
      <c r="A56" s="307" t="s">
        <v>528</v>
      </c>
      <c r="B56" s="307"/>
      <c r="C56" s="184">
        <v>0</v>
      </c>
      <c r="D56" s="184">
        <v>0</v>
      </c>
      <c r="E56" s="184">
        <v>0</v>
      </c>
      <c r="F56" s="183">
        <v>0</v>
      </c>
      <c r="G56" s="184">
        <v>0</v>
      </c>
      <c r="H56" s="184">
        <v>0</v>
      </c>
      <c r="I56" s="184">
        <v>0</v>
      </c>
      <c r="J56" s="184">
        <v>0</v>
      </c>
      <c r="K56" s="184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0</v>
      </c>
      <c r="Q56" s="184">
        <v>0</v>
      </c>
      <c r="R56" s="184">
        <v>0</v>
      </c>
      <c r="S56" s="184">
        <v>0</v>
      </c>
      <c r="T56" s="184">
        <v>0</v>
      </c>
      <c r="U56" s="184">
        <v>0</v>
      </c>
      <c r="V56" s="184">
        <v>0</v>
      </c>
      <c r="W56" s="184">
        <v>0</v>
      </c>
      <c r="X56" s="184">
        <v>0</v>
      </c>
      <c r="Y56" s="184">
        <v>0</v>
      </c>
      <c r="Z56" s="184">
        <v>0</v>
      </c>
      <c r="AA56" s="184">
        <v>0</v>
      </c>
      <c r="AB56" s="184">
        <v>0</v>
      </c>
      <c r="AC56" s="184">
        <v>0</v>
      </c>
      <c r="AD56" s="184">
        <v>0</v>
      </c>
      <c r="AE56" s="183">
        <v>0</v>
      </c>
      <c r="AF56" s="184">
        <v>0</v>
      </c>
      <c r="AG56" s="184">
        <v>0</v>
      </c>
      <c r="AH56" s="184">
        <v>0</v>
      </c>
      <c r="AI56" s="184">
        <v>0</v>
      </c>
      <c r="AJ56" s="184">
        <v>0</v>
      </c>
      <c r="AK56" s="184">
        <v>0</v>
      </c>
      <c r="AL56" s="184">
        <v>0</v>
      </c>
      <c r="AM56" s="184">
        <v>0</v>
      </c>
      <c r="AN56" s="184">
        <v>0</v>
      </c>
      <c r="AO56" s="184">
        <v>0</v>
      </c>
      <c r="AP56" s="184">
        <v>0</v>
      </c>
      <c r="AQ56" s="184">
        <v>0</v>
      </c>
      <c r="AR56" s="184">
        <v>0</v>
      </c>
      <c r="AS56" s="178"/>
      <c r="AT56" s="303">
        <f>SUM(C56:AR56)</f>
        <v>0</v>
      </c>
    </row>
    <row r="57" spans="1:46" ht="11.25" customHeight="1" hidden="1" outlineLevel="1">
      <c r="A57" s="305"/>
      <c r="B57" s="305"/>
      <c r="C57" s="184"/>
      <c r="D57" s="184"/>
      <c r="E57" s="184"/>
      <c r="F57" s="183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3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78"/>
      <c r="AT57" s="303"/>
    </row>
    <row r="58" spans="1:46" ht="11.25" customHeight="1" hidden="1" outlineLevel="1">
      <c r="A58" s="305" t="s">
        <v>78</v>
      </c>
      <c r="B58" s="305"/>
      <c r="C58" s="319">
        <v>0</v>
      </c>
      <c r="D58" s="319">
        <v>0</v>
      </c>
      <c r="E58" s="319">
        <v>0</v>
      </c>
      <c r="F58" s="319">
        <v>0</v>
      </c>
      <c r="G58" s="319">
        <v>0</v>
      </c>
      <c r="H58" s="319">
        <v>0</v>
      </c>
      <c r="I58" s="319">
        <v>0</v>
      </c>
      <c r="J58" s="319">
        <v>0</v>
      </c>
      <c r="K58" s="319">
        <v>0</v>
      </c>
      <c r="L58" s="319">
        <v>0</v>
      </c>
      <c r="M58" s="319">
        <v>0</v>
      </c>
      <c r="N58" s="319">
        <v>0</v>
      </c>
      <c r="O58" s="319">
        <v>0</v>
      </c>
      <c r="P58" s="319">
        <v>0</v>
      </c>
      <c r="Q58" s="319">
        <v>0</v>
      </c>
      <c r="R58" s="319">
        <v>0</v>
      </c>
      <c r="S58" s="319">
        <v>0</v>
      </c>
      <c r="T58" s="319">
        <v>0</v>
      </c>
      <c r="U58" s="319">
        <v>0</v>
      </c>
      <c r="V58" s="319">
        <v>0</v>
      </c>
      <c r="W58" s="319">
        <v>0</v>
      </c>
      <c r="X58" s="319">
        <v>0</v>
      </c>
      <c r="Y58" s="319">
        <v>0</v>
      </c>
      <c r="Z58" s="319">
        <v>0</v>
      </c>
      <c r="AA58" s="319">
        <v>0</v>
      </c>
      <c r="AB58" s="319">
        <v>0</v>
      </c>
      <c r="AC58" s="319">
        <v>0</v>
      </c>
      <c r="AD58" s="319">
        <v>0</v>
      </c>
      <c r="AE58" s="319">
        <v>0</v>
      </c>
      <c r="AF58" s="319">
        <v>0</v>
      </c>
      <c r="AG58" s="319">
        <v>0</v>
      </c>
      <c r="AH58" s="319">
        <v>0</v>
      </c>
      <c r="AI58" s="319">
        <v>0</v>
      </c>
      <c r="AJ58" s="319">
        <v>0</v>
      </c>
      <c r="AK58" s="319">
        <v>0</v>
      </c>
      <c r="AL58" s="319">
        <v>0</v>
      </c>
      <c r="AM58" s="319">
        <v>0</v>
      </c>
      <c r="AN58" s="319">
        <v>0</v>
      </c>
      <c r="AO58" s="319">
        <v>0</v>
      </c>
      <c r="AP58" s="319">
        <v>0</v>
      </c>
      <c r="AQ58" s="319">
        <v>0</v>
      </c>
      <c r="AR58" s="319">
        <v>0</v>
      </c>
      <c r="AS58" s="178"/>
      <c r="AT58" s="303">
        <f>SUM(C58:AR58)</f>
        <v>0</v>
      </c>
    </row>
    <row r="59" spans="1:46" ht="11.25" customHeight="1" hidden="1" outlineLevel="1">
      <c r="A59" s="305"/>
      <c r="B59" s="305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178"/>
      <c r="AT59" s="303"/>
    </row>
    <row r="60" spans="1:46" ht="11.25" customHeight="1" collapsed="1">
      <c r="A60" s="305" t="s">
        <v>79</v>
      </c>
      <c r="B60" s="305"/>
      <c r="C60" s="184">
        <f>+C52+C54+C58</f>
        <v>511554</v>
      </c>
      <c r="D60" s="184">
        <f aca="true" t="shared" si="8" ref="D60:AR60">+D52+D54+D58</f>
        <v>296010</v>
      </c>
      <c r="E60" s="184">
        <f t="shared" si="8"/>
        <v>98315</v>
      </c>
      <c r="F60" s="184">
        <f t="shared" si="8"/>
        <v>881118</v>
      </c>
      <c r="G60" s="184">
        <f t="shared" si="8"/>
        <v>113341</v>
      </c>
      <c r="H60" s="184">
        <f t="shared" si="8"/>
        <v>140140</v>
      </c>
      <c r="I60" s="184">
        <f t="shared" si="8"/>
        <v>266</v>
      </c>
      <c r="J60" s="184">
        <f t="shared" si="8"/>
        <v>13552</v>
      </c>
      <c r="K60" s="184">
        <f t="shared" si="8"/>
        <v>66698</v>
      </c>
      <c r="L60" s="184">
        <f t="shared" si="8"/>
        <v>16551</v>
      </c>
      <c r="M60" s="184">
        <f t="shared" si="8"/>
        <v>-57</v>
      </c>
      <c r="N60" s="184">
        <f t="shared" si="8"/>
        <v>21515</v>
      </c>
      <c r="O60" s="184">
        <f t="shared" si="8"/>
        <v>288091</v>
      </c>
      <c r="P60" s="184">
        <f t="shared" si="8"/>
        <v>1804983</v>
      </c>
      <c r="Q60" s="184">
        <f t="shared" si="8"/>
        <v>2599271</v>
      </c>
      <c r="R60" s="184">
        <f t="shared" si="8"/>
        <v>609106</v>
      </c>
      <c r="S60" s="184">
        <f t="shared" si="8"/>
        <v>750366</v>
      </c>
      <c r="T60" s="184">
        <f>+T52+T54+T58</f>
        <v>133326</v>
      </c>
      <c r="U60" s="184">
        <f>+U52+U54+U58</f>
        <v>309259</v>
      </c>
      <c r="V60" s="184">
        <f t="shared" si="8"/>
        <v>4188</v>
      </c>
      <c r="W60" s="184">
        <f t="shared" si="8"/>
        <v>192725</v>
      </c>
      <c r="X60" s="184">
        <f t="shared" si="8"/>
        <v>17538</v>
      </c>
      <c r="Y60" s="184">
        <f t="shared" si="8"/>
        <v>15222</v>
      </c>
      <c r="Z60" s="184">
        <f t="shared" si="8"/>
        <v>72980</v>
      </c>
      <c r="AA60" s="184">
        <f t="shared" si="8"/>
        <v>4585832</v>
      </c>
      <c r="AB60" s="184">
        <f t="shared" si="8"/>
        <v>326885</v>
      </c>
      <c r="AC60" s="184">
        <f t="shared" si="8"/>
        <v>352386</v>
      </c>
      <c r="AD60" s="184">
        <f t="shared" si="8"/>
        <v>54093</v>
      </c>
      <c r="AE60" s="184">
        <f t="shared" si="8"/>
        <v>28994</v>
      </c>
      <c r="AF60" s="184">
        <f t="shared" si="8"/>
        <v>549238</v>
      </c>
      <c r="AG60" s="184">
        <f t="shared" si="8"/>
        <v>61887</v>
      </c>
      <c r="AH60" s="184">
        <f>+AH52+AH54+AH58</f>
        <v>3353790</v>
      </c>
      <c r="AI60" s="184">
        <f>+AI52+AI54+AI58</f>
        <v>1944740</v>
      </c>
      <c r="AJ60" s="184">
        <f>+AJ52+AJ54+AJ58</f>
        <v>1269947</v>
      </c>
      <c r="AK60" s="184">
        <f>+AK52+AK54+AK58</f>
        <v>693614</v>
      </c>
      <c r="AL60" s="184">
        <f t="shared" si="8"/>
        <v>86380</v>
      </c>
      <c r="AM60" s="184">
        <f t="shared" si="8"/>
        <v>17349</v>
      </c>
      <c r="AN60" s="184">
        <f t="shared" si="8"/>
        <v>3620</v>
      </c>
      <c r="AO60" s="184">
        <f>+AO52+AO54+AO58</f>
        <v>41779</v>
      </c>
      <c r="AP60" s="184">
        <f t="shared" si="8"/>
        <v>1759</v>
      </c>
      <c r="AQ60" s="184">
        <f t="shared" si="8"/>
        <v>15610</v>
      </c>
      <c r="AR60" s="184">
        <f t="shared" si="8"/>
        <v>263770</v>
      </c>
      <c r="AS60" s="184"/>
      <c r="AT60" s="184">
        <f>+AT52+AT54+AT58</f>
        <v>22607731</v>
      </c>
    </row>
    <row r="61" spans="1:46" ht="11.25" customHeight="1">
      <c r="A61" s="307"/>
      <c r="B61" s="307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78"/>
      <c r="AT61" s="303"/>
    </row>
    <row r="62" spans="1:46" ht="11.25" customHeight="1">
      <c r="A62" s="305" t="s">
        <v>80</v>
      </c>
      <c r="B62" s="305"/>
      <c r="C62" s="321">
        <v>3966517</v>
      </c>
      <c r="D62" s="321">
        <v>1263047</v>
      </c>
      <c r="E62" s="321">
        <v>444856</v>
      </c>
      <c r="F62" s="321">
        <v>5578830</v>
      </c>
      <c r="G62" s="321">
        <v>793504</v>
      </c>
      <c r="H62" s="321">
        <v>1171141</v>
      </c>
      <c r="I62" s="321">
        <v>21678</v>
      </c>
      <c r="J62" s="321">
        <v>67396</v>
      </c>
      <c r="K62" s="321">
        <v>150000</v>
      </c>
      <c r="L62" s="321">
        <v>74966</v>
      </c>
      <c r="M62" s="321">
        <v>4994</v>
      </c>
      <c r="N62" s="321">
        <v>342235</v>
      </c>
      <c r="O62" s="321">
        <v>2175833</v>
      </c>
      <c r="P62" s="321">
        <v>11032442</v>
      </c>
      <c r="Q62" s="321">
        <v>31514858</v>
      </c>
      <c r="R62" s="321">
        <v>3069417</v>
      </c>
      <c r="S62" s="321">
        <v>1392256</v>
      </c>
      <c r="T62" s="321">
        <v>509629</v>
      </c>
      <c r="U62" s="321">
        <v>1653374</v>
      </c>
      <c r="V62" s="321">
        <v>9396</v>
      </c>
      <c r="W62" s="321">
        <v>748167</v>
      </c>
      <c r="X62" s="321">
        <v>199846</v>
      </c>
      <c r="Y62" s="321">
        <v>141635</v>
      </c>
      <c r="Z62" s="321">
        <v>2085619</v>
      </c>
      <c r="AA62" s="321">
        <v>40932807</v>
      </c>
      <c r="AB62" s="321">
        <v>2763582</v>
      </c>
      <c r="AC62" s="321">
        <v>4425902</v>
      </c>
      <c r="AD62" s="321">
        <v>330288</v>
      </c>
      <c r="AE62" s="321">
        <v>101640</v>
      </c>
      <c r="AF62" s="321">
        <v>1400355</v>
      </c>
      <c r="AG62" s="321">
        <v>37620</v>
      </c>
      <c r="AH62" s="321">
        <v>8311010</v>
      </c>
      <c r="AI62" s="321">
        <v>5543342</v>
      </c>
      <c r="AJ62" s="321">
        <v>3927067</v>
      </c>
      <c r="AK62" s="321">
        <v>2279763</v>
      </c>
      <c r="AL62" s="321">
        <v>588917</v>
      </c>
      <c r="AM62" s="321">
        <v>88332</v>
      </c>
      <c r="AN62" s="321">
        <v>49832</v>
      </c>
      <c r="AO62" s="321">
        <v>323145</v>
      </c>
      <c r="AP62" s="321">
        <v>38958</v>
      </c>
      <c r="AQ62" s="321">
        <v>123180</v>
      </c>
      <c r="AR62" s="321">
        <v>2219059</v>
      </c>
      <c r="AS62" s="178"/>
      <c r="AT62" s="303">
        <f>SUM(C62:AR62)</f>
        <v>141896435</v>
      </c>
    </row>
    <row r="63" spans="1:46" ht="11.25" customHeight="1">
      <c r="A63" s="305"/>
      <c r="B63" s="305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78"/>
      <c r="AT63" s="303"/>
    </row>
    <row r="64" spans="1:46" ht="10.5" customHeight="1">
      <c r="A64" s="192"/>
      <c r="B64" s="192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78"/>
      <c r="AT64" s="303"/>
    </row>
    <row r="65" spans="1:47" s="22" customFormat="1" ht="11.25" customHeight="1">
      <c r="A65" s="193" t="s">
        <v>280</v>
      </c>
      <c r="B65" s="193"/>
      <c r="C65" s="322">
        <f>+C60+C62</f>
        <v>4478071</v>
      </c>
      <c r="D65" s="322">
        <f aca="true" t="shared" si="9" ref="D65:AR65">+D60+D62</f>
        <v>1559057</v>
      </c>
      <c r="E65" s="322">
        <f t="shared" si="9"/>
        <v>543171</v>
      </c>
      <c r="F65" s="322">
        <f t="shared" si="9"/>
        <v>6459948</v>
      </c>
      <c r="G65" s="322">
        <f t="shared" si="9"/>
        <v>906845</v>
      </c>
      <c r="H65" s="322">
        <f t="shared" si="9"/>
        <v>1311281</v>
      </c>
      <c r="I65" s="322">
        <f t="shared" si="9"/>
        <v>21944</v>
      </c>
      <c r="J65" s="322">
        <f t="shared" si="9"/>
        <v>80948</v>
      </c>
      <c r="K65" s="322">
        <f t="shared" si="9"/>
        <v>216698</v>
      </c>
      <c r="L65" s="322">
        <f t="shared" si="9"/>
        <v>91517</v>
      </c>
      <c r="M65" s="322">
        <f t="shared" si="9"/>
        <v>4937</v>
      </c>
      <c r="N65" s="322">
        <f t="shared" si="9"/>
        <v>363750</v>
      </c>
      <c r="O65" s="322">
        <f t="shared" si="9"/>
        <v>2463924</v>
      </c>
      <c r="P65" s="322">
        <f t="shared" si="9"/>
        <v>12837425</v>
      </c>
      <c r="Q65" s="322">
        <f t="shared" si="9"/>
        <v>34114129</v>
      </c>
      <c r="R65" s="322">
        <f t="shared" si="9"/>
        <v>3678523</v>
      </c>
      <c r="S65" s="322">
        <f t="shared" si="9"/>
        <v>2142622</v>
      </c>
      <c r="T65" s="322">
        <f>+T60+T62</f>
        <v>642955</v>
      </c>
      <c r="U65" s="322">
        <f>+U60+U62</f>
        <v>1962633</v>
      </c>
      <c r="V65" s="322">
        <f t="shared" si="9"/>
        <v>13584</v>
      </c>
      <c r="W65" s="322">
        <f t="shared" si="9"/>
        <v>940892</v>
      </c>
      <c r="X65" s="322">
        <f t="shared" si="9"/>
        <v>217384</v>
      </c>
      <c r="Y65" s="322">
        <f t="shared" si="9"/>
        <v>156857</v>
      </c>
      <c r="Z65" s="322">
        <f t="shared" si="9"/>
        <v>2158599</v>
      </c>
      <c r="AA65" s="322">
        <f t="shared" si="9"/>
        <v>45518639</v>
      </c>
      <c r="AB65" s="322">
        <f t="shared" si="9"/>
        <v>3090467</v>
      </c>
      <c r="AC65" s="322">
        <f t="shared" si="9"/>
        <v>4778288</v>
      </c>
      <c r="AD65" s="322">
        <f t="shared" si="9"/>
        <v>384381</v>
      </c>
      <c r="AE65" s="322">
        <f t="shared" si="9"/>
        <v>130634</v>
      </c>
      <c r="AF65" s="322">
        <f t="shared" si="9"/>
        <v>1949593</v>
      </c>
      <c r="AG65" s="322">
        <f t="shared" si="9"/>
        <v>99507</v>
      </c>
      <c r="AH65" s="322">
        <f>+AH60+AH62</f>
        <v>11664800</v>
      </c>
      <c r="AI65" s="322">
        <f>+AI60+AI62</f>
        <v>7488082</v>
      </c>
      <c r="AJ65" s="322">
        <f>+AJ60+AJ62</f>
        <v>5197014</v>
      </c>
      <c r="AK65" s="322">
        <f>+AK60+AK62</f>
        <v>2973377</v>
      </c>
      <c r="AL65" s="322">
        <f t="shared" si="9"/>
        <v>675297</v>
      </c>
      <c r="AM65" s="322">
        <f t="shared" si="9"/>
        <v>105681</v>
      </c>
      <c r="AN65" s="322">
        <f t="shared" si="9"/>
        <v>53452</v>
      </c>
      <c r="AO65" s="322">
        <f>+AO60+AO62</f>
        <v>364924</v>
      </c>
      <c r="AP65" s="322">
        <f t="shared" si="9"/>
        <v>40717</v>
      </c>
      <c r="AQ65" s="322">
        <f t="shared" si="9"/>
        <v>138790</v>
      </c>
      <c r="AR65" s="322">
        <f t="shared" si="9"/>
        <v>2482829</v>
      </c>
      <c r="AS65" s="322"/>
      <c r="AT65" s="322">
        <f>+AT60+AT62</f>
        <v>164504166</v>
      </c>
      <c r="AU65" s="25"/>
    </row>
    <row r="66" spans="1:46" ht="11.25" customHeight="1">
      <c r="A66" s="178"/>
      <c r="B66" s="178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178"/>
      <c r="AT66" s="303"/>
    </row>
    <row r="67" spans="1:46" ht="16.5" customHeight="1">
      <c r="A67" s="204" t="s">
        <v>82</v>
      </c>
      <c r="B67" s="205"/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178"/>
      <c r="AT67" s="303"/>
    </row>
    <row r="68" spans="1:46" ht="11.25" customHeight="1">
      <c r="A68" s="215" t="s">
        <v>83</v>
      </c>
      <c r="B68" s="215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178"/>
      <c r="AT68" s="303"/>
    </row>
    <row r="69" spans="1:46" ht="11.25" customHeight="1" hidden="1" outlineLevel="1">
      <c r="A69" s="190" t="s">
        <v>281</v>
      </c>
      <c r="B69" s="190"/>
      <c r="C69" s="325">
        <v>0</v>
      </c>
      <c r="D69" s="325">
        <v>0</v>
      </c>
      <c r="E69" s="325">
        <v>0</v>
      </c>
      <c r="F69" s="325">
        <v>0</v>
      </c>
      <c r="G69" s="325">
        <v>0</v>
      </c>
      <c r="H69" s="325">
        <v>0</v>
      </c>
      <c r="I69" s="325">
        <v>0</v>
      </c>
      <c r="J69" s="325">
        <v>0</v>
      </c>
      <c r="K69" s="325">
        <v>0</v>
      </c>
      <c r="L69" s="325">
        <v>0</v>
      </c>
      <c r="M69" s="325">
        <v>0</v>
      </c>
      <c r="N69" s="325">
        <v>0</v>
      </c>
      <c r="O69" s="325">
        <v>0</v>
      </c>
      <c r="P69" s="325">
        <v>0</v>
      </c>
      <c r="Q69" s="325">
        <v>0</v>
      </c>
      <c r="R69" s="325">
        <v>0</v>
      </c>
      <c r="S69" s="325">
        <v>0</v>
      </c>
      <c r="T69" s="325">
        <v>0</v>
      </c>
      <c r="U69" s="325">
        <v>0</v>
      </c>
      <c r="V69" s="325">
        <v>0</v>
      </c>
      <c r="W69" s="325">
        <v>0</v>
      </c>
      <c r="X69" s="325">
        <v>0</v>
      </c>
      <c r="Y69" s="325">
        <v>0</v>
      </c>
      <c r="Z69" s="325">
        <v>0</v>
      </c>
      <c r="AA69" s="325">
        <v>0</v>
      </c>
      <c r="AB69" s="325">
        <v>0</v>
      </c>
      <c r="AC69" s="325">
        <v>0</v>
      </c>
      <c r="AD69" s="325">
        <v>0</v>
      </c>
      <c r="AE69" s="325">
        <v>0</v>
      </c>
      <c r="AF69" s="325">
        <v>0</v>
      </c>
      <c r="AG69" s="325">
        <v>0</v>
      </c>
      <c r="AH69" s="325">
        <v>0</v>
      </c>
      <c r="AI69" s="325">
        <v>0</v>
      </c>
      <c r="AJ69" s="325">
        <v>0</v>
      </c>
      <c r="AK69" s="325">
        <v>0</v>
      </c>
      <c r="AL69" s="325">
        <v>0</v>
      </c>
      <c r="AM69" s="325">
        <v>0</v>
      </c>
      <c r="AN69" s="325">
        <v>0</v>
      </c>
      <c r="AO69" s="325">
        <v>0</v>
      </c>
      <c r="AP69" s="325">
        <v>0</v>
      </c>
      <c r="AQ69" s="325">
        <v>0</v>
      </c>
      <c r="AR69" s="325">
        <v>0</v>
      </c>
      <c r="AS69" s="178"/>
      <c r="AT69" s="303">
        <f>SUM(C69:AR69)</f>
        <v>0</v>
      </c>
    </row>
    <row r="70" spans="1:46" ht="11.25" customHeight="1" hidden="1" outlineLevel="1">
      <c r="A70" s="176"/>
      <c r="B70" s="176"/>
      <c r="C70" s="188"/>
      <c r="D70" s="188"/>
      <c r="E70" s="188"/>
      <c r="F70" s="189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9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78"/>
      <c r="AT70" s="303"/>
    </row>
    <row r="71" spans="1:46" ht="11.25" customHeight="1" hidden="1" outlineLevel="1">
      <c r="A71" s="176" t="s">
        <v>85</v>
      </c>
      <c r="B71" s="176"/>
      <c r="C71" s="188"/>
      <c r="D71" s="188"/>
      <c r="E71" s="188"/>
      <c r="F71" s="189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9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78"/>
      <c r="AT71" s="303"/>
    </row>
    <row r="72" spans="1:46" ht="11.25" customHeight="1" hidden="1" outlineLevel="1">
      <c r="A72" s="174" t="s">
        <v>86</v>
      </c>
      <c r="B72" s="174"/>
      <c r="C72" s="326">
        <v>0</v>
      </c>
      <c r="D72" s="326">
        <v>0</v>
      </c>
      <c r="E72" s="326">
        <v>0</v>
      </c>
      <c r="F72" s="326">
        <v>0</v>
      </c>
      <c r="G72" s="326">
        <v>0</v>
      </c>
      <c r="H72" s="326">
        <v>0</v>
      </c>
      <c r="I72" s="326">
        <v>0</v>
      </c>
      <c r="J72" s="326">
        <v>0</v>
      </c>
      <c r="K72" s="326">
        <v>0</v>
      </c>
      <c r="L72" s="326">
        <v>0</v>
      </c>
      <c r="M72" s="326">
        <v>0</v>
      </c>
      <c r="N72" s="326">
        <v>0</v>
      </c>
      <c r="O72" s="326">
        <v>0</v>
      </c>
      <c r="P72" s="326">
        <v>0</v>
      </c>
      <c r="Q72" s="326">
        <v>0</v>
      </c>
      <c r="R72" s="326">
        <v>0</v>
      </c>
      <c r="S72" s="326">
        <v>0</v>
      </c>
      <c r="T72" s="326">
        <v>0</v>
      </c>
      <c r="U72" s="326">
        <v>0</v>
      </c>
      <c r="V72" s="326">
        <v>0</v>
      </c>
      <c r="W72" s="326">
        <v>0</v>
      </c>
      <c r="X72" s="326">
        <v>0</v>
      </c>
      <c r="Y72" s="326">
        <v>0</v>
      </c>
      <c r="Z72" s="326">
        <v>1689</v>
      </c>
      <c r="AA72" s="326">
        <v>0</v>
      </c>
      <c r="AB72" s="326">
        <v>0</v>
      </c>
      <c r="AC72" s="326">
        <v>0</v>
      </c>
      <c r="AD72" s="326">
        <v>0</v>
      </c>
      <c r="AE72" s="326">
        <v>0</v>
      </c>
      <c r="AF72" s="326">
        <v>0</v>
      </c>
      <c r="AG72" s="326">
        <v>0</v>
      </c>
      <c r="AH72" s="326">
        <v>0</v>
      </c>
      <c r="AI72" s="326">
        <v>0</v>
      </c>
      <c r="AJ72" s="326">
        <v>0</v>
      </c>
      <c r="AK72" s="326">
        <v>0</v>
      </c>
      <c r="AL72" s="326">
        <v>0</v>
      </c>
      <c r="AM72" s="326">
        <v>0</v>
      </c>
      <c r="AN72" s="326">
        <v>0</v>
      </c>
      <c r="AO72" s="326">
        <v>0</v>
      </c>
      <c r="AP72" s="326">
        <v>0</v>
      </c>
      <c r="AQ72" s="326">
        <v>0</v>
      </c>
      <c r="AR72" s="326">
        <v>0</v>
      </c>
      <c r="AS72" s="178"/>
      <c r="AT72" s="303">
        <f>SUM(C72:AR72)</f>
        <v>1689</v>
      </c>
    </row>
    <row r="73" spans="1:46" ht="11.25" customHeight="1" hidden="1" outlineLevel="1">
      <c r="A73" s="191" t="s">
        <v>87</v>
      </c>
      <c r="B73" s="191"/>
      <c r="C73" s="188"/>
      <c r="D73" s="188"/>
      <c r="E73" s="188"/>
      <c r="F73" s="189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9"/>
      <c r="AA73" s="188"/>
      <c r="AB73" s="188"/>
      <c r="AC73" s="188"/>
      <c r="AD73" s="188"/>
      <c r="AE73" s="189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78"/>
      <c r="AT73" s="303"/>
    </row>
    <row r="74" spans="1:46" ht="11.25" customHeight="1" hidden="1" outlineLevel="1">
      <c r="A74" s="174" t="s">
        <v>88</v>
      </c>
      <c r="B74" s="174"/>
      <c r="C74" s="327">
        <v>0</v>
      </c>
      <c r="D74" s="327">
        <v>0</v>
      </c>
      <c r="E74" s="327">
        <v>0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0</v>
      </c>
      <c r="P74" s="327">
        <v>0</v>
      </c>
      <c r="Q74" s="327">
        <v>0</v>
      </c>
      <c r="R74" s="327">
        <v>0</v>
      </c>
      <c r="S74" s="327">
        <v>0</v>
      </c>
      <c r="T74" s="327">
        <v>0</v>
      </c>
      <c r="U74" s="327">
        <v>0</v>
      </c>
      <c r="V74" s="327">
        <v>0</v>
      </c>
      <c r="W74" s="327">
        <v>0</v>
      </c>
      <c r="X74" s="327">
        <v>0</v>
      </c>
      <c r="Y74" s="327">
        <v>0</v>
      </c>
      <c r="Z74" s="327">
        <v>0</v>
      </c>
      <c r="AA74" s="327">
        <v>0</v>
      </c>
      <c r="AB74" s="327">
        <v>0</v>
      </c>
      <c r="AC74" s="327">
        <v>0</v>
      </c>
      <c r="AD74" s="327">
        <v>0</v>
      </c>
      <c r="AE74" s="327">
        <v>0</v>
      </c>
      <c r="AF74" s="327">
        <v>0</v>
      </c>
      <c r="AG74" s="327">
        <v>0</v>
      </c>
      <c r="AH74" s="327">
        <v>0</v>
      </c>
      <c r="AI74" s="327">
        <v>0</v>
      </c>
      <c r="AJ74" s="327">
        <v>0</v>
      </c>
      <c r="AK74" s="327">
        <v>0</v>
      </c>
      <c r="AL74" s="327">
        <v>0</v>
      </c>
      <c r="AM74" s="327">
        <v>0</v>
      </c>
      <c r="AN74" s="327">
        <v>0</v>
      </c>
      <c r="AO74" s="327">
        <v>0</v>
      </c>
      <c r="AP74" s="327">
        <v>0</v>
      </c>
      <c r="AQ74" s="327">
        <v>0</v>
      </c>
      <c r="AR74" s="327">
        <v>0</v>
      </c>
      <c r="AS74" s="178"/>
      <c r="AT74" s="303">
        <f>SUM(C74:AR74)</f>
        <v>0</v>
      </c>
    </row>
    <row r="75" spans="1:46" ht="11.25" customHeight="1" hidden="1" outlineLevel="1">
      <c r="A75" s="174" t="s">
        <v>89</v>
      </c>
      <c r="B75" s="174"/>
      <c r="C75" s="327">
        <v>0</v>
      </c>
      <c r="D75" s="327">
        <v>0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327">
        <v>0</v>
      </c>
      <c r="R75" s="327">
        <v>0</v>
      </c>
      <c r="S75" s="327">
        <v>0</v>
      </c>
      <c r="T75" s="327">
        <v>0</v>
      </c>
      <c r="U75" s="327">
        <v>0</v>
      </c>
      <c r="V75" s="327">
        <v>0</v>
      </c>
      <c r="W75" s="327">
        <v>0</v>
      </c>
      <c r="X75" s="327">
        <v>0</v>
      </c>
      <c r="Y75" s="327">
        <v>0</v>
      </c>
      <c r="Z75" s="327">
        <v>0</v>
      </c>
      <c r="AA75" s="327">
        <v>0</v>
      </c>
      <c r="AB75" s="327">
        <v>0</v>
      </c>
      <c r="AC75" s="327">
        <v>0</v>
      </c>
      <c r="AD75" s="327">
        <v>0</v>
      </c>
      <c r="AE75" s="327">
        <v>0</v>
      </c>
      <c r="AF75" s="327">
        <v>0</v>
      </c>
      <c r="AG75" s="327">
        <v>0</v>
      </c>
      <c r="AH75" s="327">
        <v>0</v>
      </c>
      <c r="AI75" s="327">
        <v>0</v>
      </c>
      <c r="AJ75" s="327">
        <v>0</v>
      </c>
      <c r="AK75" s="327">
        <v>0</v>
      </c>
      <c r="AL75" s="327">
        <v>0</v>
      </c>
      <c r="AM75" s="327">
        <v>0</v>
      </c>
      <c r="AN75" s="327">
        <v>0</v>
      </c>
      <c r="AO75" s="327">
        <v>0</v>
      </c>
      <c r="AP75" s="327">
        <v>0</v>
      </c>
      <c r="AQ75" s="327">
        <v>0</v>
      </c>
      <c r="AR75" s="327">
        <v>0</v>
      </c>
      <c r="AS75" s="178"/>
      <c r="AT75" s="303">
        <f>SUM(C75:AR75)</f>
        <v>0</v>
      </c>
    </row>
    <row r="76" spans="1:46" ht="11.25" customHeight="1" hidden="1" outlineLevel="1">
      <c r="A76" s="174" t="s">
        <v>90</v>
      </c>
      <c r="B76" s="174"/>
      <c r="C76" s="327">
        <v>0</v>
      </c>
      <c r="D76" s="327">
        <v>0</v>
      </c>
      <c r="E76" s="327">
        <v>0</v>
      </c>
      <c r="F76" s="327">
        <v>0</v>
      </c>
      <c r="G76" s="327">
        <v>0</v>
      </c>
      <c r="H76" s="327">
        <v>0</v>
      </c>
      <c r="I76" s="327">
        <v>0</v>
      </c>
      <c r="J76" s="327">
        <v>0</v>
      </c>
      <c r="K76" s="327">
        <v>0</v>
      </c>
      <c r="L76" s="327">
        <v>0</v>
      </c>
      <c r="M76" s="327">
        <v>0</v>
      </c>
      <c r="N76" s="327">
        <v>0</v>
      </c>
      <c r="O76" s="327">
        <v>0</v>
      </c>
      <c r="P76" s="327">
        <v>0</v>
      </c>
      <c r="Q76" s="327">
        <v>0</v>
      </c>
      <c r="R76" s="327">
        <v>0</v>
      </c>
      <c r="S76" s="327">
        <v>0</v>
      </c>
      <c r="T76" s="327">
        <v>0</v>
      </c>
      <c r="U76" s="327">
        <v>0</v>
      </c>
      <c r="V76" s="327">
        <v>0</v>
      </c>
      <c r="W76" s="327">
        <v>0</v>
      </c>
      <c r="X76" s="327">
        <v>0</v>
      </c>
      <c r="Y76" s="327">
        <v>0</v>
      </c>
      <c r="Z76" s="327">
        <v>0</v>
      </c>
      <c r="AA76" s="327">
        <v>0</v>
      </c>
      <c r="AB76" s="327">
        <v>0</v>
      </c>
      <c r="AC76" s="327">
        <v>0</v>
      </c>
      <c r="AD76" s="327">
        <v>0</v>
      </c>
      <c r="AE76" s="327">
        <v>0</v>
      </c>
      <c r="AF76" s="327">
        <v>0</v>
      </c>
      <c r="AG76" s="327">
        <v>0</v>
      </c>
      <c r="AH76" s="327">
        <v>0</v>
      </c>
      <c r="AI76" s="327">
        <v>0</v>
      </c>
      <c r="AJ76" s="327">
        <v>0</v>
      </c>
      <c r="AK76" s="327">
        <v>0</v>
      </c>
      <c r="AL76" s="327">
        <v>0</v>
      </c>
      <c r="AM76" s="327">
        <v>0</v>
      </c>
      <c r="AN76" s="327">
        <v>0</v>
      </c>
      <c r="AO76" s="327">
        <v>0</v>
      </c>
      <c r="AP76" s="327">
        <v>0</v>
      </c>
      <c r="AQ76" s="327">
        <v>0</v>
      </c>
      <c r="AR76" s="327">
        <v>0</v>
      </c>
      <c r="AS76" s="178"/>
      <c r="AT76" s="303">
        <f>SUM(C76:AR76)</f>
        <v>0</v>
      </c>
    </row>
    <row r="77" spans="1:46" ht="11.25" customHeight="1" hidden="1" outlineLevel="1">
      <c r="A77" s="174" t="s">
        <v>91</v>
      </c>
      <c r="B77" s="174"/>
      <c r="C77" s="327">
        <v>0</v>
      </c>
      <c r="D77" s="327">
        <v>0</v>
      </c>
      <c r="E77" s="327">
        <v>0</v>
      </c>
      <c r="F77" s="327">
        <v>0</v>
      </c>
      <c r="G77" s="327">
        <v>0</v>
      </c>
      <c r="H77" s="327">
        <v>0</v>
      </c>
      <c r="I77" s="327">
        <v>0</v>
      </c>
      <c r="J77" s="327">
        <v>0</v>
      </c>
      <c r="K77" s="327">
        <v>0</v>
      </c>
      <c r="L77" s="327">
        <v>0</v>
      </c>
      <c r="M77" s="327">
        <v>0</v>
      </c>
      <c r="N77" s="327">
        <v>0</v>
      </c>
      <c r="O77" s="327">
        <v>0</v>
      </c>
      <c r="P77" s="327">
        <v>0</v>
      </c>
      <c r="Q77" s="327">
        <v>0</v>
      </c>
      <c r="R77" s="327">
        <v>0</v>
      </c>
      <c r="S77" s="327">
        <v>0</v>
      </c>
      <c r="T77" s="327">
        <v>0</v>
      </c>
      <c r="U77" s="327">
        <v>0</v>
      </c>
      <c r="V77" s="327">
        <v>0</v>
      </c>
      <c r="W77" s="327">
        <v>0</v>
      </c>
      <c r="X77" s="327">
        <v>0</v>
      </c>
      <c r="Y77" s="327">
        <v>0</v>
      </c>
      <c r="Z77" s="327">
        <v>0</v>
      </c>
      <c r="AA77" s="327">
        <v>0</v>
      </c>
      <c r="AB77" s="327">
        <v>0</v>
      </c>
      <c r="AC77" s="327">
        <v>0</v>
      </c>
      <c r="AD77" s="327">
        <v>0</v>
      </c>
      <c r="AE77" s="327">
        <v>0</v>
      </c>
      <c r="AF77" s="327">
        <v>0</v>
      </c>
      <c r="AG77" s="327">
        <v>0</v>
      </c>
      <c r="AH77" s="327">
        <v>0</v>
      </c>
      <c r="AI77" s="327">
        <v>0</v>
      </c>
      <c r="AJ77" s="327">
        <v>0</v>
      </c>
      <c r="AK77" s="327">
        <v>0</v>
      </c>
      <c r="AL77" s="327">
        <v>0</v>
      </c>
      <c r="AM77" s="327">
        <v>0</v>
      </c>
      <c r="AN77" s="327">
        <v>0</v>
      </c>
      <c r="AO77" s="327">
        <v>0</v>
      </c>
      <c r="AP77" s="327">
        <v>0</v>
      </c>
      <c r="AQ77" s="327">
        <v>0</v>
      </c>
      <c r="AR77" s="327">
        <v>0</v>
      </c>
      <c r="AS77" s="178"/>
      <c r="AT77" s="303">
        <f>SUM(C77:AR77)</f>
        <v>0</v>
      </c>
    </row>
    <row r="78" spans="1:46" ht="11.25" customHeight="1" hidden="1" outlineLevel="1">
      <c r="A78" s="174"/>
      <c r="B78" s="174"/>
      <c r="C78" s="188"/>
      <c r="D78" s="188"/>
      <c r="E78" s="188"/>
      <c r="F78" s="189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9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78"/>
      <c r="AT78" s="303"/>
    </row>
    <row r="79" spans="1:46" ht="11.25" customHeight="1" hidden="1" outlineLevel="1">
      <c r="A79" s="191" t="s">
        <v>92</v>
      </c>
      <c r="B79" s="191"/>
      <c r="C79" s="188"/>
      <c r="D79" s="188"/>
      <c r="E79" s="188"/>
      <c r="F79" s="189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9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78"/>
      <c r="AT79" s="303"/>
    </row>
    <row r="80" spans="1:46" ht="11.25" customHeight="1" hidden="1" outlineLevel="1">
      <c r="A80" s="174" t="s">
        <v>93</v>
      </c>
      <c r="B80" s="174"/>
      <c r="C80" s="328">
        <v>4185964</v>
      </c>
      <c r="D80" s="328">
        <v>1412230</v>
      </c>
      <c r="E80" s="328">
        <v>0</v>
      </c>
      <c r="F80" s="328">
        <v>3423522</v>
      </c>
      <c r="G80" s="328">
        <v>334726</v>
      </c>
      <c r="H80" s="328">
        <v>329828</v>
      </c>
      <c r="I80" s="328">
        <v>0</v>
      </c>
      <c r="J80" s="328">
        <v>44871</v>
      </c>
      <c r="K80" s="328">
        <v>77868</v>
      </c>
      <c r="L80" s="328">
        <v>16417</v>
      </c>
      <c r="M80" s="328">
        <v>0</v>
      </c>
      <c r="N80" s="328">
        <v>140293</v>
      </c>
      <c r="O80" s="328">
        <v>0</v>
      </c>
      <c r="P80" s="328">
        <v>8285684</v>
      </c>
      <c r="Q80" s="328">
        <v>21187805</v>
      </c>
      <c r="R80" s="328">
        <v>2335016</v>
      </c>
      <c r="S80" s="328">
        <v>1700085</v>
      </c>
      <c r="T80" s="328">
        <v>512535</v>
      </c>
      <c r="U80" s="328">
        <v>1648886</v>
      </c>
      <c r="V80" s="328">
        <v>0</v>
      </c>
      <c r="W80" s="328">
        <v>0</v>
      </c>
      <c r="X80" s="328">
        <v>38366</v>
      </c>
      <c r="Y80" s="328">
        <v>37888</v>
      </c>
      <c r="Z80" s="328">
        <v>964132</v>
      </c>
      <c r="AA80" s="328">
        <v>30763067</v>
      </c>
      <c r="AB80" s="328">
        <v>1573752</v>
      </c>
      <c r="AC80" s="328">
        <v>973396</v>
      </c>
      <c r="AD80" s="328">
        <v>385230</v>
      </c>
      <c r="AE80" s="328">
        <v>125826</v>
      </c>
      <c r="AF80" s="328">
        <v>1929018</v>
      </c>
      <c r="AG80" s="328">
        <v>97442</v>
      </c>
      <c r="AH80" s="328">
        <v>11018835</v>
      </c>
      <c r="AI80" s="328">
        <v>6892440</v>
      </c>
      <c r="AJ80" s="328">
        <v>4823544</v>
      </c>
      <c r="AK80" s="328">
        <v>2754561</v>
      </c>
      <c r="AL80" s="328">
        <v>565540</v>
      </c>
      <c r="AM80" s="328">
        <v>93381</v>
      </c>
      <c r="AN80" s="328">
        <v>0</v>
      </c>
      <c r="AO80" s="328">
        <v>294652</v>
      </c>
      <c r="AP80" s="328">
        <v>16166</v>
      </c>
      <c r="AQ80" s="328">
        <v>69119</v>
      </c>
      <c r="AR80" s="328">
        <v>2173846</v>
      </c>
      <c r="AS80" s="178"/>
      <c r="AT80" s="303">
        <f aca="true" t="shared" si="10" ref="AT80:AT85">SUM(C80:AR80)</f>
        <v>111225931</v>
      </c>
    </row>
    <row r="81" spans="1:46" ht="11.25" customHeight="1" hidden="1" outlineLevel="1">
      <c r="A81" s="174" t="s">
        <v>94</v>
      </c>
      <c r="B81" s="174"/>
      <c r="C81" s="329">
        <v>222567</v>
      </c>
      <c r="D81" s="329">
        <v>102160</v>
      </c>
      <c r="E81" s="329">
        <v>0</v>
      </c>
      <c r="F81" s="329">
        <v>2043961</v>
      </c>
      <c r="G81" s="329">
        <v>349958</v>
      </c>
      <c r="H81" s="329">
        <v>640007</v>
      </c>
      <c r="I81" s="329">
        <v>0</v>
      </c>
      <c r="J81" s="329">
        <v>33449</v>
      </c>
      <c r="K81" s="329">
        <v>128682</v>
      </c>
      <c r="L81" s="329">
        <v>69610</v>
      </c>
      <c r="M81" s="329">
        <v>4574</v>
      </c>
      <c r="N81" s="329">
        <v>206866</v>
      </c>
      <c r="O81" s="329">
        <v>2265884</v>
      </c>
      <c r="P81" s="329">
        <v>3712374</v>
      </c>
      <c r="Q81" s="329">
        <v>8435425</v>
      </c>
      <c r="R81" s="329">
        <v>1019995</v>
      </c>
      <c r="S81" s="329">
        <v>386281</v>
      </c>
      <c r="T81" s="329">
        <v>124547</v>
      </c>
      <c r="U81" s="329">
        <v>295818</v>
      </c>
      <c r="V81" s="329">
        <v>0</v>
      </c>
      <c r="W81" s="329">
        <v>339517</v>
      </c>
      <c r="X81" s="329">
        <v>47398</v>
      </c>
      <c r="Y81" s="329">
        <v>57524</v>
      </c>
      <c r="Z81" s="329">
        <v>778398</v>
      </c>
      <c r="AA81" s="329">
        <v>13997710</v>
      </c>
      <c r="AB81" s="329">
        <v>1518140</v>
      </c>
      <c r="AC81" s="329">
        <v>3702012</v>
      </c>
      <c r="AD81" s="329">
        <v>0</v>
      </c>
      <c r="AE81" s="329">
        <v>0</v>
      </c>
      <c r="AF81" s="329">
        <v>0</v>
      </c>
      <c r="AG81" s="329">
        <v>0</v>
      </c>
      <c r="AH81" s="329">
        <v>733416</v>
      </c>
      <c r="AI81" s="329">
        <v>639063</v>
      </c>
      <c r="AJ81" s="329">
        <v>411112</v>
      </c>
      <c r="AK81" s="329">
        <v>154059</v>
      </c>
      <c r="AL81" s="329">
        <v>110596</v>
      </c>
      <c r="AM81" s="329">
        <v>10054</v>
      </c>
      <c r="AN81" s="329">
        <v>0</v>
      </c>
      <c r="AO81" s="329">
        <v>65962</v>
      </c>
      <c r="AP81" s="329">
        <v>24249</v>
      </c>
      <c r="AQ81" s="329">
        <v>69119</v>
      </c>
      <c r="AR81" s="329">
        <v>207345</v>
      </c>
      <c r="AS81" s="178"/>
      <c r="AT81" s="303">
        <f t="shared" si="10"/>
        <v>42907832</v>
      </c>
    </row>
    <row r="82" spans="1:46" ht="11.25" customHeight="1" hidden="1" outlineLevel="1">
      <c r="A82" s="164" t="s">
        <v>95</v>
      </c>
      <c r="B82" s="164"/>
      <c r="C82" s="329">
        <v>0</v>
      </c>
      <c r="D82" s="329">
        <v>0</v>
      </c>
      <c r="E82" s="329">
        <v>0</v>
      </c>
      <c r="F82" s="329">
        <v>848099</v>
      </c>
      <c r="G82" s="329">
        <v>0</v>
      </c>
      <c r="H82" s="329">
        <v>0</v>
      </c>
      <c r="I82" s="329">
        <v>0</v>
      </c>
      <c r="J82" s="329">
        <v>2628</v>
      </c>
      <c r="K82" s="329">
        <v>10148</v>
      </c>
      <c r="L82" s="329">
        <v>5490</v>
      </c>
      <c r="M82" s="329">
        <v>363</v>
      </c>
      <c r="N82" s="329">
        <v>16322</v>
      </c>
      <c r="O82" s="329">
        <v>178685</v>
      </c>
      <c r="P82" s="329">
        <v>789123</v>
      </c>
      <c r="Q82" s="329">
        <v>4251546</v>
      </c>
      <c r="R82" s="329">
        <v>282842</v>
      </c>
      <c r="S82" s="329">
        <v>0</v>
      </c>
      <c r="T82" s="329">
        <v>0</v>
      </c>
      <c r="U82" s="329">
        <v>0</v>
      </c>
      <c r="V82" s="329">
        <v>0</v>
      </c>
      <c r="W82" s="329">
        <v>468800</v>
      </c>
      <c r="X82" s="329">
        <v>65447</v>
      </c>
      <c r="Y82" s="329">
        <v>0</v>
      </c>
      <c r="Z82" s="329">
        <v>275589</v>
      </c>
      <c r="AA82" s="329">
        <v>528981</v>
      </c>
      <c r="AB82" s="329">
        <v>0</v>
      </c>
      <c r="AC82" s="329">
        <v>0</v>
      </c>
      <c r="AD82" s="329">
        <v>0</v>
      </c>
      <c r="AE82" s="329">
        <v>0</v>
      </c>
      <c r="AF82" s="329">
        <v>0</v>
      </c>
      <c r="AG82" s="329">
        <v>0</v>
      </c>
      <c r="AH82" s="329">
        <v>0</v>
      </c>
      <c r="AI82" s="329">
        <v>0</v>
      </c>
      <c r="AJ82" s="329">
        <v>0</v>
      </c>
      <c r="AK82" s="329">
        <v>0</v>
      </c>
      <c r="AL82" s="329">
        <v>0</v>
      </c>
      <c r="AM82" s="329">
        <v>0</v>
      </c>
      <c r="AN82" s="329">
        <v>0</v>
      </c>
      <c r="AO82" s="329">
        <v>0</v>
      </c>
      <c r="AP82" s="329">
        <v>0</v>
      </c>
      <c r="AQ82" s="329">
        <v>0</v>
      </c>
      <c r="AR82" s="329">
        <v>61176</v>
      </c>
      <c r="AS82" s="178"/>
      <c r="AT82" s="303">
        <f t="shared" si="10"/>
        <v>7785239</v>
      </c>
    </row>
    <row r="83" spans="1:46" ht="11.25" customHeight="1" hidden="1" outlineLevel="1">
      <c r="A83" s="164" t="s">
        <v>96</v>
      </c>
      <c r="B83" s="164"/>
      <c r="C83" s="329">
        <v>0</v>
      </c>
      <c r="D83" s="329">
        <v>0</v>
      </c>
      <c r="E83" s="329">
        <v>0</v>
      </c>
      <c r="F83" s="329">
        <v>0</v>
      </c>
      <c r="G83" s="329">
        <v>0</v>
      </c>
      <c r="H83" s="329">
        <v>0</v>
      </c>
      <c r="I83" s="329">
        <v>0</v>
      </c>
      <c r="J83" s="329">
        <v>0</v>
      </c>
      <c r="K83" s="329">
        <v>0</v>
      </c>
      <c r="L83" s="329">
        <v>0</v>
      </c>
      <c r="M83" s="329">
        <v>0</v>
      </c>
      <c r="N83" s="329">
        <v>0</v>
      </c>
      <c r="O83" s="329">
        <v>0</v>
      </c>
      <c r="P83" s="329">
        <v>0</v>
      </c>
      <c r="Q83" s="329">
        <v>0</v>
      </c>
      <c r="R83" s="329">
        <v>0</v>
      </c>
      <c r="S83" s="329">
        <v>0</v>
      </c>
      <c r="T83" s="329">
        <v>0</v>
      </c>
      <c r="U83" s="329">
        <v>0</v>
      </c>
      <c r="V83" s="329">
        <v>0</v>
      </c>
      <c r="W83" s="329">
        <v>0</v>
      </c>
      <c r="X83" s="329">
        <v>0</v>
      </c>
      <c r="Y83" s="329">
        <v>0</v>
      </c>
      <c r="Z83" s="329">
        <v>0</v>
      </c>
      <c r="AA83" s="329">
        <v>0</v>
      </c>
      <c r="AB83" s="329">
        <v>0</v>
      </c>
      <c r="AC83" s="329">
        <v>0</v>
      </c>
      <c r="AD83" s="329">
        <v>0</v>
      </c>
      <c r="AE83" s="329">
        <v>0</v>
      </c>
      <c r="AF83" s="329">
        <v>0</v>
      </c>
      <c r="AG83" s="329">
        <v>0</v>
      </c>
      <c r="AH83" s="329">
        <v>0</v>
      </c>
      <c r="AI83" s="329">
        <v>0</v>
      </c>
      <c r="AJ83" s="329">
        <v>0</v>
      </c>
      <c r="AK83" s="329">
        <v>0</v>
      </c>
      <c r="AL83" s="329">
        <v>0</v>
      </c>
      <c r="AM83" s="329">
        <v>0</v>
      </c>
      <c r="AN83" s="329">
        <v>0</v>
      </c>
      <c r="AO83" s="329">
        <v>0</v>
      </c>
      <c r="AP83" s="329">
        <v>0</v>
      </c>
      <c r="AQ83" s="329">
        <v>0</v>
      </c>
      <c r="AR83" s="329">
        <v>0</v>
      </c>
      <c r="AS83" s="178"/>
      <c r="AT83" s="303">
        <f t="shared" si="10"/>
        <v>0</v>
      </c>
    </row>
    <row r="84" spans="1:46" ht="11.25" customHeight="1" hidden="1" outlineLevel="1">
      <c r="A84" s="174" t="s">
        <v>97</v>
      </c>
      <c r="B84" s="174"/>
      <c r="C84" s="329">
        <v>0</v>
      </c>
      <c r="D84" s="329">
        <v>0</v>
      </c>
      <c r="E84" s="329">
        <v>0</v>
      </c>
      <c r="F84" s="329">
        <v>0</v>
      </c>
      <c r="G84" s="329">
        <v>0</v>
      </c>
      <c r="H84" s="329">
        <v>0</v>
      </c>
      <c r="I84" s="329">
        <v>21720</v>
      </c>
      <c r="J84" s="329">
        <v>0</v>
      </c>
      <c r="K84" s="329">
        <v>0</v>
      </c>
      <c r="L84" s="329">
        <v>0</v>
      </c>
      <c r="M84" s="329">
        <v>0</v>
      </c>
      <c r="N84" s="329">
        <v>0</v>
      </c>
      <c r="O84" s="329">
        <v>0</v>
      </c>
      <c r="P84" s="329">
        <v>0</v>
      </c>
      <c r="Q84" s="329">
        <v>0</v>
      </c>
      <c r="R84" s="329">
        <v>0</v>
      </c>
      <c r="S84" s="329">
        <v>897</v>
      </c>
      <c r="T84" s="329">
        <v>0</v>
      </c>
      <c r="U84" s="329">
        <v>0</v>
      </c>
      <c r="V84" s="329">
        <v>13241</v>
      </c>
      <c r="W84" s="329">
        <v>0</v>
      </c>
      <c r="X84" s="329">
        <v>0</v>
      </c>
      <c r="Y84" s="329">
        <v>0</v>
      </c>
      <c r="Z84" s="329">
        <v>0</v>
      </c>
      <c r="AA84" s="329">
        <v>0</v>
      </c>
      <c r="AB84" s="329">
        <v>0</v>
      </c>
      <c r="AC84" s="329">
        <v>0</v>
      </c>
      <c r="AD84" s="329">
        <v>0</v>
      </c>
      <c r="AE84" s="329">
        <v>0</v>
      </c>
      <c r="AF84" s="329">
        <v>0</v>
      </c>
      <c r="AG84" s="329">
        <v>0</v>
      </c>
      <c r="AH84" s="329">
        <v>0</v>
      </c>
      <c r="AI84" s="329">
        <v>0</v>
      </c>
      <c r="AJ84" s="329">
        <v>0</v>
      </c>
      <c r="AK84" s="329">
        <v>95399</v>
      </c>
      <c r="AL84" s="329">
        <v>0</v>
      </c>
      <c r="AM84" s="329">
        <v>0</v>
      </c>
      <c r="AN84" s="329">
        <v>53830</v>
      </c>
      <c r="AO84" s="329">
        <v>0</v>
      </c>
      <c r="AP84" s="329">
        <v>0</v>
      </c>
      <c r="AQ84" s="329">
        <v>0</v>
      </c>
      <c r="AR84" s="329">
        <v>0</v>
      </c>
      <c r="AS84" s="178"/>
      <c r="AT84" s="303">
        <f t="shared" si="10"/>
        <v>185087</v>
      </c>
    </row>
    <row r="85" spans="1:46" ht="11.25" customHeight="1" hidden="1" outlineLevel="1">
      <c r="A85" s="164" t="s">
        <v>92</v>
      </c>
      <c r="B85" s="164"/>
      <c r="C85" s="329">
        <v>0</v>
      </c>
      <c r="D85" s="329">
        <v>0</v>
      </c>
      <c r="E85" s="329">
        <v>537501</v>
      </c>
      <c r="F85" s="329">
        <v>0</v>
      </c>
      <c r="G85" s="329">
        <v>0</v>
      </c>
      <c r="H85" s="329">
        <v>0</v>
      </c>
      <c r="I85" s="329">
        <v>0</v>
      </c>
      <c r="J85" s="329">
        <v>0</v>
      </c>
      <c r="K85" s="329">
        <v>0</v>
      </c>
      <c r="L85" s="329">
        <v>0</v>
      </c>
      <c r="M85" s="329">
        <v>0</v>
      </c>
      <c r="N85" s="329">
        <v>0</v>
      </c>
      <c r="O85" s="329">
        <v>0</v>
      </c>
      <c r="P85" s="329">
        <v>0</v>
      </c>
      <c r="Q85" s="329">
        <v>0</v>
      </c>
      <c r="R85" s="329">
        <v>0</v>
      </c>
      <c r="S85" s="329">
        <v>0</v>
      </c>
      <c r="T85" s="329">
        <v>0</v>
      </c>
      <c r="U85" s="329">
        <v>0</v>
      </c>
      <c r="V85" s="329">
        <v>0</v>
      </c>
      <c r="W85" s="329">
        <v>0</v>
      </c>
      <c r="X85" s="329">
        <v>0</v>
      </c>
      <c r="Y85" s="329">
        <v>0</v>
      </c>
      <c r="Z85" s="329">
        <v>4551</v>
      </c>
      <c r="AA85" s="329">
        <v>0</v>
      </c>
      <c r="AB85" s="329">
        <v>0</v>
      </c>
      <c r="AC85" s="329">
        <v>0</v>
      </c>
      <c r="AD85" s="329">
        <v>0</v>
      </c>
      <c r="AE85" s="329">
        <v>0</v>
      </c>
      <c r="AF85" s="329">
        <v>0</v>
      </c>
      <c r="AG85" s="329">
        <v>0</v>
      </c>
      <c r="AH85" s="329">
        <v>0</v>
      </c>
      <c r="AI85" s="329">
        <v>0</v>
      </c>
      <c r="AJ85" s="329">
        <v>0</v>
      </c>
      <c r="AK85" s="329">
        <v>0</v>
      </c>
      <c r="AL85" s="329">
        <v>0</v>
      </c>
      <c r="AM85" s="329">
        <v>0</v>
      </c>
      <c r="AN85" s="329">
        <v>0</v>
      </c>
      <c r="AO85" s="329">
        <v>0</v>
      </c>
      <c r="AP85" s="329">
        <v>0</v>
      </c>
      <c r="AQ85" s="329">
        <v>0</v>
      </c>
      <c r="AR85" s="329">
        <v>0</v>
      </c>
      <c r="AS85" s="178"/>
      <c r="AT85" s="303">
        <f t="shared" si="10"/>
        <v>542052</v>
      </c>
    </row>
    <row r="86" spans="1:46" ht="11.25" customHeight="1" hidden="1" outlineLevel="1">
      <c r="A86" s="177" t="s">
        <v>98</v>
      </c>
      <c r="B86" s="177"/>
      <c r="C86" s="188">
        <f aca="true" t="shared" si="11" ref="C86:AR86">SUM(C80:C85)</f>
        <v>4408531</v>
      </c>
      <c r="D86" s="188">
        <f t="shared" si="11"/>
        <v>1514390</v>
      </c>
      <c r="E86" s="188">
        <f t="shared" si="11"/>
        <v>537501</v>
      </c>
      <c r="F86" s="188">
        <f t="shared" si="11"/>
        <v>6315582</v>
      </c>
      <c r="G86" s="188">
        <f t="shared" si="11"/>
        <v>684684</v>
      </c>
      <c r="H86" s="188">
        <f t="shared" si="11"/>
        <v>969835</v>
      </c>
      <c r="I86" s="188">
        <f t="shared" si="11"/>
        <v>21720</v>
      </c>
      <c r="J86" s="188">
        <f t="shared" si="11"/>
        <v>80948</v>
      </c>
      <c r="K86" s="188">
        <f t="shared" si="11"/>
        <v>216698</v>
      </c>
      <c r="L86" s="188">
        <f t="shared" si="11"/>
        <v>91517</v>
      </c>
      <c r="M86" s="188">
        <f t="shared" si="11"/>
        <v>4937</v>
      </c>
      <c r="N86" s="188">
        <f t="shared" si="11"/>
        <v>363481</v>
      </c>
      <c r="O86" s="188">
        <f t="shared" si="11"/>
        <v>2444569</v>
      </c>
      <c r="P86" s="188">
        <f t="shared" si="11"/>
        <v>12787181</v>
      </c>
      <c r="Q86" s="188">
        <f t="shared" si="11"/>
        <v>33874776</v>
      </c>
      <c r="R86" s="188">
        <f t="shared" si="11"/>
        <v>3637853</v>
      </c>
      <c r="S86" s="188">
        <f t="shared" si="11"/>
        <v>2087263</v>
      </c>
      <c r="T86" s="188">
        <f>SUM(T80:T85)</f>
        <v>637082</v>
      </c>
      <c r="U86" s="188">
        <f>SUM(U80:U85)</f>
        <v>1944704</v>
      </c>
      <c r="V86" s="188">
        <f t="shared" si="11"/>
        <v>13241</v>
      </c>
      <c r="W86" s="188">
        <f t="shared" si="11"/>
        <v>808317</v>
      </c>
      <c r="X86" s="188">
        <f t="shared" si="11"/>
        <v>151211</v>
      </c>
      <c r="Y86" s="188">
        <f t="shared" si="11"/>
        <v>95412</v>
      </c>
      <c r="Z86" s="188">
        <f t="shared" si="11"/>
        <v>2022670</v>
      </c>
      <c r="AA86" s="188">
        <f t="shared" si="11"/>
        <v>45289758</v>
      </c>
      <c r="AB86" s="188">
        <f t="shared" si="11"/>
        <v>3091892</v>
      </c>
      <c r="AC86" s="188">
        <f t="shared" si="11"/>
        <v>4675408</v>
      </c>
      <c r="AD86" s="188">
        <f t="shared" si="11"/>
        <v>385230</v>
      </c>
      <c r="AE86" s="188">
        <f t="shared" si="11"/>
        <v>125826</v>
      </c>
      <c r="AF86" s="188">
        <f t="shared" si="11"/>
        <v>1929018</v>
      </c>
      <c r="AG86" s="188">
        <f t="shared" si="11"/>
        <v>97442</v>
      </c>
      <c r="AH86" s="188">
        <f>SUM(AH80:AH85)</f>
        <v>11752251</v>
      </c>
      <c r="AI86" s="188">
        <f>SUM(AI80:AI85)</f>
        <v>7531503</v>
      </c>
      <c r="AJ86" s="188">
        <f>SUM(AJ80:AJ85)</f>
        <v>5234656</v>
      </c>
      <c r="AK86" s="188">
        <f>SUM(AK80:AK85)</f>
        <v>3004019</v>
      </c>
      <c r="AL86" s="188">
        <f t="shared" si="11"/>
        <v>676136</v>
      </c>
      <c r="AM86" s="188">
        <f t="shared" si="11"/>
        <v>103435</v>
      </c>
      <c r="AN86" s="188">
        <f t="shared" si="11"/>
        <v>53830</v>
      </c>
      <c r="AO86" s="188">
        <f>SUM(AO80:AO85)</f>
        <v>360614</v>
      </c>
      <c r="AP86" s="188">
        <f t="shared" si="11"/>
        <v>40415</v>
      </c>
      <c r="AQ86" s="188">
        <f t="shared" si="11"/>
        <v>138238</v>
      </c>
      <c r="AR86" s="188">
        <f t="shared" si="11"/>
        <v>2442367</v>
      </c>
      <c r="AS86" s="188"/>
      <c r="AT86" s="188">
        <f>SUM(AT80:AT85)</f>
        <v>162646141</v>
      </c>
    </row>
    <row r="87" spans="1:46" ht="11.25" customHeight="1" collapsed="1">
      <c r="A87" s="176" t="s">
        <v>99</v>
      </c>
      <c r="B87" s="176"/>
      <c r="C87" s="188">
        <f aca="true" t="shared" si="12" ref="C87:AR87">SUM(C72:C77)+C86+C69</f>
        <v>4408531</v>
      </c>
      <c r="D87" s="188">
        <f t="shared" si="12"/>
        <v>1514390</v>
      </c>
      <c r="E87" s="188">
        <f t="shared" si="12"/>
        <v>537501</v>
      </c>
      <c r="F87" s="188">
        <f t="shared" si="12"/>
        <v>6315582</v>
      </c>
      <c r="G87" s="188">
        <f t="shared" si="12"/>
        <v>684684</v>
      </c>
      <c r="H87" s="188">
        <f t="shared" si="12"/>
        <v>969835</v>
      </c>
      <c r="I87" s="188">
        <f t="shared" si="12"/>
        <v>21720</v>
      </c>
      <c r="J87" s="188">
        <f t="shared" si="12"/>
        <v>80948</v>
      </c>
      <c r="K87" s="188">
        <f t="shared" si="12"/>
        <v>216698</v>
      </c>
      <c r="L87" s="188">
        <f t="shared" si="12"/>
        <v>91517</v>
      </c>
      <c r="M87" s="188">
        <f t="shared" si="12"/>
        <v>4937</v>
      </c>
      <c r="N87" s="188">
        <f t="shared" si="12"/>
        <v>363481</v>
      </c>
      <c r="O87" s="188">
        <f t="shared" si="12"/>
        <v>2444569</v>
      </c>
      <c r="P87" s="188">
        <f t="shared" si="12"/>
        <v>12787181</v>
      </c>
      <c r="Q87" s="188">
        <f t="shared" si="12"/>
        <v>33874776</v>
      </c>
      <c r="R87" s="188">
        <f t="shared" si="12"/>
        <v>3637853</v>
      </c>
      <c r="S87" s="188">
        <f t="shared" si="12"/>
        <v>2087263</v>
      </c>
      <c r="T87" s="188">
        <f>SUM(T72:T77)+T86+T69</f>
        <v>637082</v>
      </c>
      <c r="U87" s="188">
        <f>SUM(U72:U77)+U86+U69</f>
        <v>1944704</v>
      </c>
      <c r="V87" s="188">
        <f t="shared" si="12"/>
        <v>13241</v>
      </c>
      <c r="W87" s="188">
        <f t="shared" si="12"/>
        <v>808317</v>
      </c>
      <c r="X87" s="188">
        <f t="shared" si="12"/>
        <v>151211</v>
      </c>
      <c r="Y87" s="188">
        <f t="shared" si="12"/>
        <v>95412</v>
      </c>
      <c r="Z87" s="188">
        <f t="shared" si="12"/>
        <v>2024359</v>
      </c>
      <c r="AA87" s="188">
        <f t="shared" si="12"/>
        <v>45289758</v>
      </c>
      <c r="AB87" s="188">
        <f t="shared" si="12"/>
        <v>3091892</v>
      </c>
      <c r="AC87" s="188">
        <f t="shared" si="12"/>
        <v>4675408</v>
      </c>
      <c r="AD87" s="188">
        <f t="shared" si="12"/>
        <v>385230</v>
      </c>
      <c r="AE87" s="188">
        <f t="shared" si="12"/>
        <v>125826</v>
      </c>
      <c r="AF87" s="188">
        <f t="shared" si="12"/>
        <v>1929018</v>
      </c>
      <c r="AG87" s="188">
        <f t="shared" si="12"/>
        <v>97442</v>
      </c>
      <c r="AH87" s="188">
        <f>SUM(AH72:AH77)+AH86+AH69</f>
        <v>11752251</v>
      </c>
      <c r="AI87" s="188">
        <f>SUM(AI72:AI77)+AI86+AI69</f>
        <v>7531503</v>
      </c>
      <c r="AJ87" s="188">
        <f>SUM(AJ72:AJ77)+AJ86+AJ69</f>
        <v>5234656</v>
      </c>
      <c r="AK87" s="188">
        <f>SUM(AK72:AK77)+AK86+AK69</f>
        <v>3004019</v>
      </c>
      <c r="AL87" s="188">
        <f t="shared" si="12"/>
        <v>676136</v>
      </c>
      <c r="AM87" s="188">
        <f t="shared" si="12"/>
        <v>103435</v>
      </c>
      <c r="AN87" s="188">
        <f t="shared" si="12"/>
        <v>53830</v>
      </c>
      <c r="AO87" s="188">
        <f>SUM(AO72:AO77)+AO86+AO69</f>
        <v>360614</v>
      </c>
      <c r="AP87" s="188">
        <f t="shared" si="12"/>
        <v>40415</v>
      </c>
      <c r="AQ87" s="188">
        <f t="shared" si="12"/>
        <v>138238</v>
      </c>
      <c r="AR87" s="188">
        <f t="shared" si="12"/>
        <v>2442367</v>
      </c>
      <c r="AS87" s="188"/>
      <c r="AT87" s="188">
        <f>SUM(AT72:AT77)+AT86+AT69</f>
        <v>162647830</v>
      </c>
    </row>
    <row r="88" spans="1:46" ht="11.25" customHeight="1">
      <c r="A88" s="176"/>
      <c r="B88" s="176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330"/>
      <c r="AH88" s="330"/>
      <c r="AI88" s="330"/>
      <c r="AJ88" s="330"/>
      <c r="AK88" s="330"/>
      <c r="AL88" s="330"/>
      <c r="AM88" s="330"/>
      <c r="AN88" s="330"/>
      <c r="AO88" s="330"/>
      <c r="AP88" s="330"/>
      <c r="AQ88" s="330"/>
      <c r="AR88" s="330"/>
      <c r="AS88" s="178"/>
      <c r="AT88" s="303"/>
    </row>
    <row r="89" spans="1:46" ht="11.25" customHeight="1" hidden="1" outlineLevel="1">
      <c r="A89" s="176" t="s">
        <v>100</v>
      </c>
      <c r="B89" s="176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78"/>
      <c r="AT89" s="303"/>
    </row>
    <row r="90" spans="1:46" ht="11.25" customHeight="1" hidden="1" outlineLevel="1">
      <c r="A90" s="174" t="s">
        <v>101</v>
      </c>
      <c r="B90" s="174"/>
      <c r="C90" s="331">
        <v>0</v>
      </c>
      <c r="D90" s="331">
        <v>0</v>
      </c>
      <c r="E90" s="331">
        <v>0</v>
      </c>
      <c r="F90" s="331">
        <v>0</v>
      </c>
      <c r="G90" s="331">
        <v>0</v>
      </c>
      <c r="H90" s="331">
        <v>0</v>
      </c>
      <c r="I90" s="331">
        <v>0</v>
      </c>
      <c r="J90" s="331">
        <v>0</v>
      </c>
      <c r="K90" s="331">
        <v>0</v>
      </c>
      <c r="L90" s="331">
        <v>0</v>
      </c>
      <c r="M90" s="331">
        <v>0</v>
      </c>
      <c r="N90" s="331">
        <v>0</v>
      </c>
      <c r="O90" s="331">
        <v>0</v>
      </c>
      <c r="P90" s="331">
        <v>0</v>
      </c>
      <c r="Q90" s="331">
        <v>0</v>
      </c>
      <c r="R90" s="331">
        <v>0</v>
      </c>
      <c r="S90" s="331">
        <v>0</v>
      </c>
      <c r="T90" s="331">
        <v>0</v>
      </c>
      <c r="U90" s="331">
        <v>0</v>
      </c>
      <c r="V90" s="331">
        <v>0</v>
      </c>
      <c r="W90" s="331">
        <v>0</v>
      </c>
      <c r="X90" s="331">
        <v>0</v>
      </c>
      <c r="Y90" s="331">
        <v>0</v>
      </c>
      <c r="Z90" s="331">
        <v>0</v>
      </c>
      <c r="AA90" s="331">
        <v>0</v>
      </c>
      <c r="AB90" s="331">
        <v>0</v>
      </c>
      <c r="AC90" s="331">
        <v>0</v>
      </c>
      <c r="AD90" s="331">
        <v>0</v>
      </c>
      <c r="AE90" s="331">
        <v>0</v>
      </c>
      <c r="AF90" s="331">
        <v>0</v>
      </c>
      <c r="AG90" s="331">
        <v>0</v>
      </c>
      <c r="AH90" s="331">
        <v>0</v>
      </c>
      <c r="AI90" s="331">
        <v>0</v>
      </c>
      <c r="AJ90" s="331">
        <v>0</v>
      </c>
      <c r="AK90" s="331">
        <v>0</v>
      </c>
      <c r="AL90" s="331">
        <v>0</v>
      </c>
      <c r="AM90" s="331">
        <v>0</v>
      </c>
      <c r="AN90" s="331">
        <v>0</v>
      </c>
      <c r="AO90" s="331">
        <v>-2896</v>
      </c>
      <c r="AP90" s="331">
        <v>0</v>
      </c>
      <c r="AQ90" s="331">
        <v>0</v>
      </c>
      <c r="AR90" s="331">
        <v>0</v>
      </c>
      <c r="AS90" s="178"/>
      <c r="AT90" s="303">
        <f>SUM(C90:AR90)</f>
        <v>-2896</v>
      </c>
    </row>
    <row r="91" spans="1:46" ht="11.25" customHeight="1" hidden="1" outlineLevel="1">
      <c r="A91" s="174" t="s">
        <v>102</v>
      </c>
      <c r="B91" s="174"/>
      <c r="C91" s="331">
        <v>0</v>
      </c>
      <c r="D91" s="331">
        <v>0</v>
      </c>
      <c r="E91" s="331">
        <v>0</v>
      </c>
      <c r="F91" s="331">
        <v>0</v>
      </c>
      <c r="G91" s="331">
        <v>0</v>
      </c>
      <c r="H91" s="331">
        <v>0</v>
      </c>
      <c r="I91" s="331">
        <v>0</v>
      </c>
      <c r="J91" s="331">
        <v>0</v>
      </c>
      <c r="K91" s="331">
        <v>0</v>
      </c>
      <c r="L91" s="331">
        <v>0</v>
      </c>
      <c r="M91" s="331">
        <v>0</v>
      </c>
      <c r="N91" s="331">
        <v>0</v>
      </c>
      <c r="O91" s="331">
        <v>0</v>
      </c>
      <c r="P91" s="331">
        <v>0</v>
      </c>
      <c r="Q91" s="331">
        <v>0</v>
      </c>
      <c r="R91" s="331">
        <v>0</v>
      </c>
      <c r="S91" s="331">
        <v>0</v>
      </c>
      <c r="T91" s="331">
        <v>5266</v>
      </c>
      <c r="U91" s="331">
        <v>16077</v>
      </c>
      <c r="V91" s="331">
        <v>435</v>
      </c>
      <c r="W91" s="331">
        <v>7184</v>
      </c>
      <c r="X91" s="331">
        <v>132</v>
      </c>
      <c r="Y91" s="331">
        <v>1221</v>
      </c>
      <c r="Z91" s="331">
        <v>10599</v>
      </c>
      <c r="AA91" s="331">
        <v>109218</v>
      </c>
      <c r="AB91" s="331">
        <v>7416</v>
      </c>
      <c r="AC91" s="331">
        <v>11466</v>
      </c>
      <c r="AD91" s="331">
        <v>0</v>
      </c>
      <c r="AE91" s="331">
        <v>2378</v>
      </c>
      <c r="AF91" s="331">
        <v>4578</v>
      </c>
      <c r="AG91" s="331">
        <v>534</v>
      </c>
      <c r="AH91" s="331">
        <v>26064</v>
      </c>
      <c r="AI91" s="331">
        <v>7902</v>
      </c>
      <c r="AJ91" s="331">
        <v>5482</v>
      </c>
      <c r="AK91" s="331">
        <v>2848</v>
      </c>
      <c r="AL91" s="331">
        <v>0</v>
      </c>
      <c r="AM91" s="331">
        <v>0</v>
      </c>
      <c r="AN91" s="331">
        <v>0</v>
      </c>
      <c r="AO91" s="331">
        <v>7206</v>
      </c>
      <c r="AP91" s="331">
        <v>303</v>
      </c>
      <c r="AQ91" s="331">
        <v>552</v>
      </c>
      <c r="AR91" s="331">
        <v>7375</v>
      </c>
      <c r="AS91" s="178"/>
      <c r="AT91" s="303">
        <f>SUM(C91:AR91)</f>
        <v>234236</v>
      </c>
    </row>
    <row r="92" spans="1:46" ht="11.25" customHeight="1" hidden="1" outlineLevel="1">
      <c r="A92" s="174" t="s">
        <v>103</v>
      </c>
      <c r="B92" s="174"/>
      <c r="C92" s="331">
        <v>1686</v>
      </c>
      <c r="D92" s="331">
        <v>2370</v>
      </c>
      <c r="E92" s="331">
        <v>268</v>
      </c>
      <c r="F92" s="331">
        <v>0</v>
      </c>
      <c r="G92" s="331">
        <v>2691</v>
      </c>
      <c r="H92" s="331">
        <v>2691</v>
      </c>
      <c r="I92" s="331">
        <v>0</v>
      </c>
      <c r="J92" s="331">
        <v>0</v>
      </c>
      <c r="K92" s="331">
        <v>0</v>
      </c>
      <c r="L92" s="331">
        <v>0</v>
      </c>
      <c r="M92" s="331">
        <v>0</v>
      </c>
      <c r="N92" s="331">
        <v>0</v>
      </c>
      <c r="O92" s="331">
        <v>11245</v>
      </c>
      <c r="P92" s="331">
        <v>9050</v>
      </c>
      <c r="Q92" s="331">
        <v>41585</v>
      </c>
      <c r="R92" s="331">
        <v>3324</v>
      </c>
      <c r="S92" s="331">
        <v>2752</v>
      </c>
      <c r="T92" s="331">
        <v>607</v>
      </c>
      <c r="U92" s="331">
        <v>1852</v>
      </c>
      <c r="V92" s="331">
        <v>0</v>
      </c>
      <c r="W92" s="331">
        <v>32651</v>
      </c>
      <c r="X92" s="331">
        <v>43339</v>
      </c>
      <c r="Y92" s="331">
        <v>24525</v>
      </c>
      <c r="Z92" s="331">
        <v>68800</v>
      </c>
      <c r="AA92" s="331">
        <v>5355</v>
      </c>
      <c r="AB92" s="331">
        <v>588</v>
      </c>
      <c r="AC92" s="331">
        <v>1926</v>
      </c>
      <c r="AD92" s="331">
        <v>312</v>
      </c>
      <c r="AE92" s="331">
        <v>0</v>
      </c>
      <c r="AF92" s="331">
        <v>0</v>
      </c>
      <c r="AG92" s="331">
        <v>0</v>
      </c>
      <c r="AH92" s="331">
        <v>1986</v>
      </c>
      <c r="AI92" s="331">
        <v>871</v>
      </c>
      <c r="AJ92" s="331">
        <v>450</v>
      </c>
      <c r="AK92" s="331">
        <v>8348</v>
      </c>
      <c r="AL92" s="331">
        <v>435</v>
      </c>
      <c r="AM92" s="331">
        <v>97</v>
      </c>
      <c r="AN92" s="331">
        <v>510</v>
      </c>
      <c r="AO92" s="331">
        <v>0</v>
      </c>
      <c r="AP92" s="331">
        <v>0</v>
      </c>
      <c r="AQ92" s="331">
        <v>0</v>
      </c>
      <c r="AR92" s="331">
        <v>36598</v>
      </c>
      <c r="AS92" s="178"/>
      <c r="AT92" s="303">
        <f>SUM(C92:AR92)</f>
        <v>306912</v>
      </c>
    </row>
    <row r="93" spans="1:46" ht="11.25" customHeight="1" collapsed="1">
      <c r="A93" s="176" t="s">
        <v>104</v>
      </c>
      <c r="B93" s="176"/>
      <c r="C93" s="189">
        <f aca="true" t="shared" si="13" ref="C93:AR93">SUM(C90:C92)</f>
        <v>1686</v>
      </c>
      <c r="D93" s="189">
        <f t="shared" si="13"/>
        <v>2370</v>
      </c>
      <c r="E93" s="189">
        <f t="shared" si="13"/>
        <v>268</v>
      </c>
      <c r="F93" s="189">
        <f t="shared" si="13"/>
        <v>0</v>
      </c>
      <c r="G93" s="189">
        <f t="shared" si="13"/>
        <v>2691</v>
      </c>
      <c r="H93" s="189">
        <f t="shared" si="13"/>
        <v>2691</v>
      </c>
      <c r="I93" s="189">
        <f t="shared" si="13"/>
        <v>0</v>
      </c>
      <c r="J93" s="189">
        <f t="shared" si="13"/>
        <v>0</v>
      </c>
      <c r="K93" s="189">
        <f t="shared" si="13"/>
        <v>0</v>
      </c>
      <c r="L93" s="189">
        <f t="shared" si="13"/>
        <v>0</v>
      </c>
      <c r="M93" s="189">
        <f t="shared" si="13"/>
        <v>0</v>
      </c>
      <c r="N93" s="189">
        <f t="shared" si="13"/>
        <v>0</v>
      </c>
      <c r="O93" s="189">
        <f t="shared" si="13"/>
        <v>11245</v>
      </c>
      <c r="P93" s="189">
        <f t="shared" si="13"/>
        <v>9050</v>
      </c>
      <c r="Q93" s="189">
        <f t="shared" si="13"/>
        <v>41585</v>
      </c>
      <c r="R93" s="189">
        <f t="shared" si="13"/>
        <v>3324</v>
      </c>
      <c r="S93" s="189">
        <f t="shared" si="13"/>
        <v>2752</v>
      </c>
      <c r="T93" s="189">
        <f>SUM(T90:T92)</f>
        <v>5873</v>
      </c>
      <c r="U93" s="189">
        <f>SUM(U90:U92)</f>
        <v>17929</v>
      </c>
      <c r="V93" s="189">
        <f t="shared" si="13"/>
        <v>435</v>
      </c>
      <c r="W93" s="189">
        <f t="shared" si="13"/>
        <v>39835</v>
      </c>
      <c r="X93" s="189">
        <f t="shared" si="13"/>
        <v>43471</v>
      </c>
      <c r="Y93" s="189">
        <f t="shared" si="13"/>
        <v>25746</v>
      </c>
      <c r="Z93" s="189">
        <f t="shared" si="13"/>
        <v>79399</v>
      </c>
      <c r="AA93" s="189">
        <f t="shared" si="13"/>
        <v>114573</v>
      </c>
      <c r="AB93" s="189">
        <f t="shared" si="13"/>
        <v>8004</v>
      </c>
      <c r="AC93" s="189">
        <f t="shared" si="13"/>
        <v>13392</v>
      </c>
      <c r="AD93" s="189">
        <f t="shared" si="13"/>
        <v>312</v>
      </c>
      <c r="AE93" s="189">
        <f t="shared" si="13"/>
        <v>2378</v>
      </c>
      <c r="AF93" s="189">
        <f t="shared" si="13"/>
        <v>4578</v>
      </c>
      <c r="AG93" s="189">
        <f t="shared" si="13"/>
        <v>534</v>
      </c>
      <c r="AH93" s="189">
        <f>SUM(AH90:AH92)</f>
        <v>28050</v>
      </c>
      <c r="AI93" s="189">
        <f>SUM(AI90:AI92)</f>
        <v>8773</v>
      </c>
      <c r="AJ93" s="189">
        <f>SUM(AJ90:AJ92)</f>
        <v>5932</v>
      </c>
      <c r="AK93" s="189">
        <f>SUM(AK90:AK92)</f>
        <v>11196</v>
      </c>
      <c r="AL93" s="189">
        <f t="shared" si="13"/>
        <v>435</v>
      </c>
      <c r="AM93" s="189">
        <f t="shared" si="13"/>
        <v>97</v>
      </c>
      <c r="AN93" s="189">
        <f t="shared" si="13"/>
        <v>510</v>
      </c>
      <c r="AO93" s="189">
        <f>SUM(AO90:AO92)</f>
        <v>4310</v>
      </c>
      <c r="AP93" s="189">
        <f t="shared" si="13"/>
        <v>303</v>
      </c>
      <c r="AQ93" s="189">
        <f t="shared" si="13"/>
        <v>552</v>
      </c>
      <c r="AR93" s="189">
        <f t="shared" si="13"/>
        <v>43973</v>
      </c>
      <c r="AS93" s="178"/>
      <c r="AT93" s="303">
        <f>SUM(AT90:AT92)</f>
        <v>538252</v>
      </c>
    </row>
    <row r="94" spans="1:46" ht="11.25" customHeight="1">
      <c r="A94" s="174"/>
      <c r="B94" s="174"/>
      <c r="C94" s="332"/>
      <c r="D94" s="332"/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332"/>
      <c r="AL94" s="332"/>
      <c r="AM94" s="332"/>
      <c r="AN94" s="332"/>
      <c r="AO94" s="332"/>
      <c r="AP94" s="332"/>
      <c r="AQ94" s="332"/>
      <c r="AR94" s="332"/>
      <c r="AS94" s="178"/>
      <c r="AT94" s="303"/>
    </row>
    <row r="95" spans="1:46" ht="11.25" customHeight="1" hidden="1" outlineLevel="1">
      <c r="A95" s="176" t="s">
        <v>105</v>
      </c>
      <c r="B95" s="176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78"/>
      <c r="AT95" s="303"/>
    </row>
    <row r="96" spans="1:46" ht="11.25" customHeight="1" hidden="1" outlineLevel="1">
      <c r="A96" s="174" t="s">
        <v>106</v>
      </c>
      <c r="B96" s="174"/>
      <c r="C96" s="333">
        <v>0</v>
      </c>
      <c r="D96" s="333">
        <v>0</v>
      </c>
      <c r="E96" s="333">
        <v>0</v>
      </c>
      <c r="F96" s="333">
        <v>0</v>
      </c>
      <c r="G96" s="333">
        <v>0</v>
      </c>
      <c r="H96" s="333">
        <v>0</v>
      </c>
      <c r="I96" s="333">
        <v>0</v>
      </c>
      <c r="J96" s="333">
        <v>0</v>
      </c>
      <c r="K96" s="333">
        <v>0</v>
      </c>
      <c r="L96" s="333">
        <v>0</v>
      </c>
      <c r="M96" s="333">
        <v>0</v>
      </c>
      <c r="N96" s="333">
        <v>0</v>
      </c>
      <c r="O96" s="333">
        <v>0</v>
      </c>
      <c r="P96" s="333">
        <v>0</v>
      </c>
      <c r="Q96" s="333">
        <v>0</v>
      </c>
      <c r="R96" s="333">
        <v>0</v>
      </c>
      <c r="S96" s="333">
        <v>0</v>
      </c>
      <c r="T96" s="333">
        <v>0</v>
      </c>
      <c r="U96" s="333">
        <v>0</v>
      </c>
      <c r="V96" s="333">
        <v>0</v>
      </c>
      <c r="W96" s="333">
        <v>0</v>
      </c>
      <c r="X96" s="333">
        <v>0</v>
      </c>
      <c r="Y96" s="333">
        <v>0</v>
      </c>
      <c r="Z96" s="333">
        <v>600</v>
      </c>
      <c r="AA96" s="333">
        <v>0</v>
      </c>
      <c r="AB96" s="333">
        <v>0</v>
      </c>
      <c r="AC96" s="333">
        <v>0</v>
      </c>
      <c r="AD96" s="333">
        <v>0</v>
      </c>
      <c r="AE96" s="333">
        <v>0</v>
      </c>
      <c r="AF96" s="333">
        <v>0</v>
      </c>
      <c r="AG96" s="333">
        <v>0</v>
      </c>
      <c r="AH96" s="333">
        <v>0</v>
      </c>
      <c r="AI96" s="333">
        <v>0</v>
      </c>
      <c r="AJ96" s="333">
        <v>0</v>
      </c>
      <c r="AK96" s="333">
        <v>0</v>
      </c>
      <c r="AL96" s="333">
        <v>0</v>
      </c>
      <c r="AM96" s="333">
        <v>0</v>
      </c>
      <c r="AN96" s="333">
        <v>0</v>
      </c>
      <c r="AO96" s="333">
        <v>0</v>
      </c>
      <c r="AP96" s="333">
        <v>0</v>
      </c>
      <c r="AQ96" s="333">
        <v>0</v>
      </c>
      <c r="AR96" s="333">
        <v>0</v>
      </c>
      <c r="AS96" s="178"/>
      <c r="AT96" s="303">
        <f>SUM(C96:AR96)</f>
        <v>600</v>
      </c>
    </row>
    <row r="97" spans="1:46" ht="11.25" customHeight="1" hidden="1" outlineLevel="1">
      <c r="A97" s="174" t="s">
        <v>107</v>
      </c>
      <c r="B97" s="174"/>
      <c r="C97" s="333">
        <v>72299</v>
      </c>
      <c r="D97" s="333">
        <v>45165</v>
      </c>
      <c r="E97" s="333">
        <v>8864</v>
      </c>
      <c r="F97" s="333">
        <v>144366</v>
      </c>
      <c r="G97" s="333">
        <v>212151</v>
      </c>
      <c r="H97" s="333">
        <v>329105</v>
      </c>
      <c r="I97" s="333">
        <v>0</v>
      </c>
      <c r="J97" s="333">
        <v>0</v>
      </c>
      <c r="K97" s="333">
        <v>0</v>
      </c>
      <c r="L97" s="333">
        <v>0</v>
      </c>
      <c r="M97" s="333">
        <v>0</v>
      </c>
      <c r="N97" s="333">
        <v>269</v>
      </c>
      <c r="O97" s="333">
        <v>8110</v>
      </c>
      <c r="P97" s="333">
        <v>61942</v>
      </c>
      <c r="Q97" s="333">
        <v>259127</v>
      </c>
      <c r="R97" s="333">
        <v>42111</v>
      </c>
      <c r="S97" s="333">
        <v>60812</v>
      </c>
      <c r="T97" s="333">
        <v>0</v>
      </c>
      <c r="U97" s="333">
        <v>0</v>
      </c>
      <c r="V97" s="333">
        <v>0</v>
      </c>
      <c r="W97" s="333">
        <v>92740</v>
      </c>
      <c r="X97" s="333">
        <v>22702</v>
      </c>
      <c r="Y97" s="333">
        <v>35700</v>
      </c>
      <c r="Z97" s="333">
        <v>54240</v>
      </c>
      <c r="AA97" s="333">
        <v>266929</v>
      </c>
      <c r="AB97" s="333">
        <v>7260</v>
      </c>
      <c r="AC97" s="333">
        <v>114169</v>
      </c>
      <c r="AD97" s="333">
        <v>0</v>
      </c>
      <c r="AE97" s="333">
        <v>2430</v>
      </c>
      <c r="AF97" s="333">
        <v>38</v>
      </c>
      <c r="AG97" s="333">
        <v>0</v>
      </c>
      <c r="AH97" s="333">
        <v>44231</v>
      </c>
      <c r="AI97" s="333">
        <v>19184</v>
      </c>
      <c r="AJ97" s="333">
        <v>6605</v>
      </c>
      <c r="AK97" s="333">
        <v>0</v>
      </c>
      <c r="AL97" s="333">
        <v>179</v>
      </c>
      <c r="AM97" s="333">
        <v>2615</v>
      </c>
      <c r="AN97" s="333">
        <v>0</v>
      </c>
      <c r="AO97" s="333">
        <v>0</v>
      </c>
      <c r="AP97" s="333">
        <v>0</v>
      </c>
      <c r="AQ97" s="333">
        <v>0</v>
      </c>
      <c r="AR97" s="333">
        <v>3201</v>
      </c>
      <c r="AS97" s="178"/>
      <c r="AT97" s="303">
        <f>SUM(C97:AR97)</f>
        <v>1916544</v>
      </c>
    </row>
    <row r="98" spans="1:46" ht="11.25" customHeight="1" hidden="1" outlineLevel="1">
      <c r="A98" s="174" t="s">
        <v>108</v>
      </c>
      <c r="B98" s="174"/>
      <c r="C98" s="333">
        <v>0</v>
      </c>
      <c r="D98" s="333">
        <v>0</v>
      </c>
      <c r="E98" s="333">
        <v>0</v>
      </c>
      <c r="F98" s="333">
        <v>0</v>
      </c>
      <c r="G98" s="333">
        <v>0</v>
      </c>
      <c r="H98" s="333">
        <v>0</v>
      </c>
      <c r="I98" s="333">
        <v>0</v>
      </c>
      <c r="J98" s="333">
        <v>0</v>
      </c>
      <c r="K98" s="333">
        <v>0</v>
      </c>
      <c r="L98" s="333">
        <v>0</v>
      </c>
      <c r="M98" s="333">
        <v>0</v>
      </c>
      <c r="N98" s="333">
        <v>0</v>
      </c>
      <c r="O98" s="333">
        <v>0</v>
      </c>
      <c r="P98" s="333">
        <v>0</v>
      </c>
      <c r="Q98" s="333">
        <v>0</v>
      </c>
      <c r="R98" s="333">
        <v>0</v>
      </c>
      <c r="S98" s="333">
        <v>0</v>
      </c>
      <c r="T98" s="333">
        <v>0</v>
      </c>
      <c r="U98" s="333">
        <v>0</v>
      </c>
      <c r="V98" s="333">
        <v>0</v>
      </c>
      <c r="W98" s="333">
        <v>0</v>
      </c>
      <c r="X98" s="333">
        <v>0</v>
      </c>
      <c r="Y98" s="333">
        <v>0</v>
      </c>
      <c r="Z98" s="333">
        <v>0</v>
      </c>
      <c r="AA98" s="333">
        <v>0</v>
      </c>
      <c r="AB98" s="333">
        <v>0</v>
      </c>
      <c r="AC98" s="333">
        <v>0</v>
      </c>
      <c r="AD98" s="333">
        <v>0</v>
      </c>
      <c r="AE98" s="333">
        <v>0</v>
      </c>
      <c r="AF98" s="333">
        <v>0</v>
      </c>
      <c r="AG98" s="333">
        <v>0</v>
      </c>
      <c r="AH98" s="333">
        <v>0</v>
      </c>
      <c r="AI98" s="333">
        <v>0</v>
      </c>
      <c r="AJ98" s="333">
        <v>0</v>
      </c>
      <c r="AK98" s="333">
        <v>0</v>
      </c>
      <c r="AL98" s="333">
        <v>0</v>
      </c>
      <c r="AM98" s="333">
        <v>0</v>
      </c>
      <c r="AN98" s="333">
        <v>0</v>
      </c>
      <c r="AO98" s="333">
        <v>0</v>
      </c>
      <c r="AP98" s="333">
        <v>0</v>
      </c>
      <c r="AQ98" s="333">
        <v>0</v>
      </c>
      <c r="AR98" s="333">
        <v>0</v>
      </c>
      <c r="AS98" s="178"/>
      <c r="AT98" s="303">
        <f>SUM(C98:AR98)</f>
        <v>0</v>
      </c>
    </row>
    <row r="99" spans="1:46" ht="11.25" customHeight="1" collapsed="1">
      <c r="A99" s="176" t="s">
        <v>109</v>
      </c>
      <c r="B99" s="176"/>
      <c r="C99" s="188">
        <f aca="true" t="shared" si="14" ref="C99:AR99">SUM(C96:C98)</f>
        <v>72299</v>
      </c>
      <c r="D99" s="188">
        <f t="shared" si="14"/>
        <v>45165</v>
      </c>
      <c r="E99" s="188">
        <f t="shared" si="14"/>
        <v>8864</v>
      </c>
      <c r="F99" s="188">
        <f t="shared" si="14"/>
        <v>144366</v>
      </c>
      <c r="G99" s="188">
        <f t="shared" si="14"/>
        <v>212151</v>
      </c>
      <c r="H99" s="188">
        <f t="shared" si="14"/>
        <v>329105</v>
      </c>
      <c r="I99" s="188">
        <f t="shared" si="14"/>
        <v>0</v>
      </c>
      <c r="J99" s="188">
        <f t="shared" si="14"/>
        <v>0</v>
      </c>
      <c r="K99" s="188">
        <f t="shared" si="14"/>
        <v>0</v>
      </c>
      <c r="L99" s="188">
        <f t="shared" si="14"/>
        <v>0</v>
      </c>
      <c r="M99" s="188">
        <f t="shared" si="14"/>
        <v>0</v>
      </c>
      <c r="N99" s="188">
        <f t="shared" si="14"/>
        <v>269</v>
      </c>
      <c r="O99" s="188">
        <f t="shared" si="14"/>
        <v>8110</v>
      </c>
      <c r="P99" s="188">
        <f t="shared" si="14"/>
        <v>61942</v>
      </c>
      <c r="Q99" s="188">
        <f t="shared" si="14"/>
        <v>259127</v>
      </c>
      <c r="R99" s="188">
        <f t="shared" si="14"/>
        <v>42111</v>
      </c>
      <c r="S99" s="188">
        <f t="shared" si="14"/>
        <v>60812</v>
      </c>
      <c r="T99" s="188">
        <f>SUM(T96:T98)</f>
        <v>0</v>
      </c>
      <c r="U99" s="188">
        <f>SUM(U96:U98)</f>
        <v>0</v>
      </c>
      <c r="V99" s="188">
        <f t="shared" si="14"/>
        <v>0</v>
      </c>
      <c r="W99" s="188">
        <f t="shared" si="14"/>
        <v>92740</v>
      </c>
      <c r="X99" s="188">
        <f t="shared" si="14"/>
        <v>22702</v>
      </c>
      <c r="Y99" s="188">
        <f t="shared" si="14"/>
        <v>35700</v>
      </c>
      <c r="Z99" s="188">
        <f t="shared" si="14"/>
        <v>54840</v>
      </c>
      <c r="AA99" s="188">
        <f t="shared" si="14"/>
        <v>266929</v>
      </c>
      <c r="AB99" s="188">
        <f t="shared" si="14"/>
        <v>7260</v>
      </c>
      <c r="AC99" s="188">
        <f t="shared" si="14"/>
        <v>114169</v>
      </c>
      <c r="AD99" s="188">
        <f t="shared" si="14"/>
        <v>0</v>
      </c>
      <c r="AE99" s="188">
        <f t="shared" si="14"/>
        <v>2430</v>
      </c>
      <c r="AF99" s="188">
        <f t="shared" si="14"/>
        <v>38</v>
      </c>
      <c r="AG99" s="188">
        <f t="shared" si="14"/>
        <v>0</v>
      </c>
      <c r="AH99" s="188">
        <f>SUM(AH96:AH98)</f>
        <v>44231</v>
      </c>
      <c r="AI99" s="188">
        <f>SUM(AI96:AI98)</f>
        <v>19184</v>
      </c>
      <c r="AJ99" s="188">
        <f>SUM(AJ96:AJ98)</f>
        <v>6605</v>
      </c>
      <c r="AK99" s="188">
        <f>SUM(AK96:AK98)</f>
        <v>0</v>
      </c>
      <c r="AL99" s="188">
        <f t="shared" si="14"/>
        <v>179</v>
      </c>
      <c r="AM99" s="188">
        <f t="shared" si="14"/>
        <v>2615</v>
      </c>
      <c r="AN99" s="188">
        <f t="shared" si="14"/>
        <v>0</v>
      </c>
      <c r="AO99" s="188">
        <f>SUM(AO96:AO98)</f>
        <v>0</v>
      </c>
      <c r="AP99" s="188">
        <f t="shared" si="14"/>
        <v>0</v>
      </c>
      <c r="AQ99" s="188">
        <f t="shared" si="14"/>
        <v>0</v>
      </c>
      <c r="AR99" s="188">
        <f t="shared" si="14"/>
        <v>3201</v>
      </c>
      <c r="AS99" s="178"/>
      <c r="AT99" s="303">
        <f>SUM(AT96:AT98)</f>
        <v>1917144</v>
      </c>
    </row>
    <row r="100" spans="1:46" ht="11.25" customHeight="1" hidden="1" outlineLevel="1">
      <c r="A100" s="176"/>
      <c r="B100" s="176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4"/>
      <c r="X100" s="334"/>
      <c r="Y100" s="334"/>
      <c r="Z100" s="334"/>
      <c r="AA100" s="334"/>
      <c r="AB100" s="334"/>
      <c r="AC100" s="334"/>
      <c r="AD100" s="334"/>
      <c r="AE100" s="334"/>
      <c r="AF100" s="334"/>
      <c r="AG100" s="334"/>
      <c r="AH100" s="334"/>
      <c r="AI100" s="334"/>
      <c r="AJ100" s="334"/>
      <c r="AK100" s="334"/>
      <c r="AL100" s="334"/>
      <c r="AM100" s="334"/>
      <c r="AN100" s="334"/>
      <c r="AO100" s="334"/>
      <c r="AP100" s="334"/>
      <c r="AQ100" s="334"/>
      <c r="AR100" s="334"/>
      <c r="AS100" s="178"/>
      <c r="AT100" s="303"/>
    </row>
    <row r="101" spans="1:46" ht="11.25" customHeight="1" hidden="1" outlineLevel="1">
      <c r="A101" s="176" t="s">
        <v>110</v>
      </c>
      <c r="B101" s="176"/>
      <c r="C101" s="335">
        <v>0</v>
      </c>
      <c r="D101" s="335">
        <v>0</v>
      </c>
      <c r="E101" s="335">
        <v>0</v>
      </c>
      <c r="F101" s="335">
        <v>0</v>
      </c>
      <c r="G101" s="335">
        <v>0</v>
      </c>
      <c r="H101" s="335">
        <v>0</v>
      </c>
      <c r="I101" s="335">
        <v>0</v>
      </c>
      <c r="J101" s="335">
        <v>0</v>
      </c>
      <c r="K101" s="335">
        <v>0</v>
      </c>
      <c r="L101" s="335">
        <v>0</v>
      </c>
      <c r="M101" s="335">
        <v>0</v>
      </c>
      <c r="N101" s="335">
        <v>0</v>
      </c>
      <c r="O101" s="335">
        <v>0</v>
      </c>
      <c r="P101" s="335">
        <v>0</v>
      </c>
      <c r="Q101" s="335">
        <v>0</v>
      </c>
      <c r="R101" s="335">
        <v>0</v>
      </c>
      <c r="S101" s="335">
        <v>0</v>
      </c>
      <c r="T101" s="335">
        <v>0</v>
      </c>
      <c r="U101" s="335">
        <v>0</v>
      </c>
      <c r="V101" s="335">
        <v>0</v>
      </c>
      <c r="W101" s="335">
        <v>0</v>
      </c>
      <c r="X101" s="335">
        <v>0</v>
      </c>
      <c r="Y101" s="335">
        <v>0</v>
      </c>
      <c r="Z101" s="335">
        <v>0</v>
      </c>
      <c r="AA101" s="335">
        <v>0</v>
      </c>
      <c r="AB101" s="335">
        <v>0</v>
      </c>
      <c r="AC101" s="335">
        <v>0</v>
      </c>
      <c r="AD101" s="335">
        <v>0</v>
      </c>
      <c r="AE101" s="335">
        <v>0</v>
      </c>
      <c r="AF101" s="335">
        <v>0</v>
      </c>
      <c r="AG101" s="335">
        <v>0</v>
      </c>
      <c r="AH101" s="335">
        <v>0</v>
      </c>
      <c r="AI101" s="335">
        <v>0</v>
      </c>
      <c r="AJ101" s="335">
        <v>0</v>
      </c>
      <c r="AK101" s="335">
        <v>0</v>
      </c>
      <c r="AL101" s="335">
        <v>0</v>
      </c>
      <c r="AM101" s="335">
        <v>0</v>
      </c>
      <c r="AN101" s="335">
        <v>0</v>
      </c>
      <c r="AO101" s="335">
        <v>0</v>
      </c>
      <c r="AP101" s="335">
        <v>0</v>
      </c>
      <c r="AQ101" s="335">
        <v>0</v>
      </c>
      <c r="AR101" s="335">
        <v>0</v>
      </c>
      <c r="AS101" s="178"/>
      <c r="AT101" s="303">
        <f>SUM(C101:AR101)</f>
        <v>0</v>
      </c>
    </row>
    <row r="102" spans="1:46" ht="11.25" customHeight="1" collapsed="1">
      <c r="A102" s="174"/>
      <c r="B102" s="174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78"/>
      <c r="AT102" s="303"/>
    </row>
    <row r="103" spans="1:47" s="22" customFormat="1" ht="11.25" customHeight="1">
      <c r="A103" s="193" t="s">
        <v>111</v>
      </c>
      <c r="B103" s="193"/>
      <c r="C103" s="188">
        <f aca="true" t="shared" si="15" ref="C103:AR103">+C87+C93+C99</f>
        <v>4482516</v>
      </c>
      <c r="D103" s="188">
        <f t="shared" si="15"/>
        <v>1561925</v>
      </c>
      <c r="E103" s="188">
        <f t="shared" si="15"/>
        <v>546633</v>
      </c>
      <c r="F103" s="188">
        <f t="shared" si="15"/>
        <v>6459948</v>
      </c>
      <c r="G103" s="188">
        <f t="shared" si="15"/>
        <v>899526</v>
      </c>
      <c r="H103" s="188">
        <f t="shared" si="15"/>
        <v>1301631</v>
      </c>
      <c r="I103" s="188">
        <f t="shared" si="15"/>
        <v>21720</v>
      </c>
      <c r="J103" s="188">
        <f t="shared" si="15"/>
        <v>80948</v>
      </c>
      <c r="K103" s="188">
        <f t="shared" si="15"/>
        <v>216698</v>
      </c>
      <c r="L103" s="188">
        <f t="shared" si="15"/>
        <v>91517</v>
      </c>
      <c r="M103" s="188">
        <f t="shared" si="15"/>
        <v>4937</v>
      </c>
      <c r="N103" s="188">
        <f t="shared" si="15"/>
        <v>363750</v>
      </c>
      <c r="O103" s="188">
        <f t="shared" si="15"/>
        <v>2463924</v>
      </c>
      <c r="P103" s="188">
        <f t="shared" si="15"/>
        <v>12858173</v>
      </c>
      <c r="Q103" s="188">
        <f t="shared" si="15"/>
        <v>34175488</v>
      </c>
      <c r="R103" s="188">
        <f t="shared" si="15"/>
        <v>3683288</v>
      </c>
      <c r="S103" s="188">
        <f t="shared" si="15"/>
        <v>2150827</v>
      </c>
      <c r="T103" s="188">
        <f>+T87+T93+T99</f>
        <v>642955</v>
      </c>
      <c r="U103" s="188">
        <f>+U87+U93+U99</f>
        <v>1962633</v>
      </c>
      <c r="V103" s="188">
        <f t="shared" si="15"/>
        <v>13676</v>
      </c>
      <c r="W103" s="188">
        <f t="shared" si="15"/>
        <v>940892</v>
      </c>
      <c r="X103" s="188">
        <f t="shared" si="15"/>
        <v>217384</v>
      </c>
      <c r="Y103" s="188">
        <f t="shared" si="15"/>
        <v>156858</v>
      </c>
      <c r="Z103" s="188">
        <f t="shared" si="15"/>
        <v>2158598</v>
      </c>
      <c r="AA103" s="188">
        <f t="shared" si="15"/>
        <v>45671260</v>
      </c>
      <c r="AB103" s="188">
        <f t="shared" si="15"/>
        <v>3107156</v>
      </c>
      <c r="AC103" s="188">
        <f t="shared" si="15"/>
        <v>4802969</v>
      </c>
      <c r="AD103" s="188">
        <f t="shared" si="15"/>
        <v>385542</v>
      </c>
      <c r="AE103" s="188">
        <f t="shared" si="15"/>
        <v>130634</v>
      </c>
      <c r="AF103" s="188">
        <f t="shared" si="15"/>
        <v>1933634</v>
      </c>
      <c r="AG103" s="188">
        <f t="shared" si="15"/>
        <v>97976</v>
      </c>
      <c r="AH103" s="188">
        <f>+AH87+AH93+AH99</f>
        <v>11824532</v>
      </c>
      <c r="AI103" s="188">
        <f>+AI87+AI93+AI99</f>
        <v>7559460</v>
      </c>
      <c r="AJ103" s="188">
        <f>+AJ87+AJ93+AJ99</f>
        <v>5247193</v>
      </c>
      <c r="AK103" s="188">
        <f>+AK87+AK93+AK99</f>
        <v>3015215</v>
      </c>
      <c r="AL103" s="188">
        <f t="shared" si="15"/>
        <v>676750</v>
      </c>
      <c r="AM103" s="188">
        <f t="shared" si="15"/>
        <v>106147</v>
      </c>
      <c r="AN103" s="188">
        <f t="shared" si="15"/>
        <v>54340</v>
      </c>
      <c r="AO103" s="188">
        <f>+AO87+AO93+AO99</f>
        <v>364924</v>
      </c>
      <c r="AP103" s="188">
        <f t="shared" si="15"/>
        <v>40718</v>
      </c>
      <c r="AQ103" s="188">
        <f t="shared" si="15"/>
        <v>138790</v>
      </c>
      <c r="AR103" s="188">
        <f t="shared" si="15"/>
        <v>2489541</v>
      </c>
      <c r="AS103" s="188"/>
      <c r="AT103" s="188">
        <f>+AT87+AT93+AT99</f>
        <v>165103226</v>
      </c>
      <c r="AU103" s="25"/>
    </row>
    <row r="104" spans="1:46" ht="11.25" customHeight="1">
      <c r="A104" s="174"/>
      <c r="B104" s="174"/>
      <c r="C104" s="336"/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336"/>
      <c r="S104" s="336"/>
      <c r="T104" s="336"/>
      <c r="U104" s="336"/>
      <c r="V104" s="336"/>
      <c r="W104" s="336"/>
      <c r="X104" s="336"/>
      <c r="Y104" s="336"/>
      <c r="Z104" s="336"/>
      <c r="AA104" s="336"/>
      <c r="AB104" s="336"/>
      <c r="AC104" s="336"/>
      <c r="AD104" s="336"/>
      <c r="AE104" s="336"/>
      <c r="AF104" s="336"/>
      <c r="AG104" s="336"/>
      <c r="AH104" s="336"/>
      <c r="AI104" s="336"/>
      <c r="AJ104" s="336"/>
      <c r="AK104" s="336"/>
      <c r="AL104" s="336"/>
      <c r="AM104" s="336"/>
      <c r="AN104" s="336"/>
      <c r="AO104" s="336"/>
      <c r="AP104" s="336"/>
      <c r="AQ104" s="336"/>
      <c r="AR104" s="336"/>
      <c r="AS104" s="178"/>
      <c r="AT104" s="303"/>
    </row>
    <row r="105" spans="1:46" ht="11.25" customHeight="1">
      <c r="A105" s="216" t="s">
        <v>112</v>
      </c>
      <c r="B105" s="216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78"/>
      <c r="AT105" s="303"/>
    </row>
    <row r="106" spans="1:46" ht="11.25" customHeight="1">
      <c r="A106" s="174"/>
      <c r="B106" s="174"/>
      <c r="C106" s="188"/>
      <c r="D106" s="188"/>
      <c r="E106" s="188"/>
      <c r="F106" s="189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78"/>
      <c r="AT106" s="303"/>
    </row>
    <row r="107" spans="1:46" ht="11.25" customHeight="1" hidden="1" outlineLevel="1">
      <c r="A107" s="176" t="s">
        <v>113</v>
      </c>
      <c r="B107" s="176"/>
      <c r="C107" s="188">
        <v>0</v>
      </c>
      <c r="D107" s="188">
        <v>0</v>
      </c>
      <c r="E107" s="188">
        <v>0</v>
      </c>
      <c r="F107" s="189">
        <v>0</v>
      </c>
      <c r="G107" s="188">
        <v>0</v>
      </c>
      <c r="H107" s="188">
        <v>0</v>
      </c>
      <c r="I107" s="188">
        <v>0</v>
      </c>
      <c r="J107" s="188">
        <v>0</v>
      </c>
      <c r="K107" s="188">
        <v>0</v>
      </c>
      <c r="L107" s="188">
        <v>0</v>
      </c>
      <c r="M107" s="188">
        <v>0</v>
      </c>
      <c r="N107" s="188">
        <v>0</v>
      </c>
      <c r="O107" s="188">
        <v>0</v>
      </c>
      <c r="P107" s="188">
        <v>0</v>
      </c>
      <c r="Q107" s="188">
        <v>0</v>
      </c>
      <c r="R107" s="188">
        <v>0</v>
      </c>
      <c r="S107" s="188">
        <v>0</v>
      </c>
      <c r="T107" s="188">
        <v>0</v>
      </c>
      <c r="U107" s="188">
        <v>0</v>
      </c>
      <c r="V107" s="188">
        <v>0</v>
      </c>
      <c r="W107" s="188">
        <v>0</v>
      </c>
      <c r="X107" s="188">
        <v>0</v>
      </c>
      <c r="Y107" s="188">
        <v>0</v>
      </c>
      <c r="Z107" s="188">
        <v>0</v>
      </c>
      <c r="AA107" s="188">
        <v>0</v>
      </c>
      <c r="AB107" s="188">
        <v>0</v>
      </c>
      <c r="AC107" s="188">
        <v>0</v>
      </c>
      <c r="AD107" s="188">
        <v>0</v>
      </c>
      <c r="AE107" s="189">
        <v>0</v>
      </c>
      <c r="AF107" s="189">
        <v>0</v>
      </c>
      <c r="AG107" s="189">
        <v>0</v>
      </c>
      <c r="AH107" s="188">
        <v>0</v>
      </c>
      <c r="AI107" s="188">
        <v>0</v>
      </c>
      <c r="AJ107" s="188">
        <v>0</v>
      </c>
      <c r="AK107" s="188">
        <v>0</v>
      </c>
      <c r="AL107" s="188">
        <v>0</v>
      </c>
      <c r="AM107" s="188">
        <v>0</v>
      </c>
      <c r="AN107" s="188">
        <v>0</v>
      </c>
      <c r="AO107" s="188">
        <v>0</v>
      </c>
      <c r="AP107" s="188">
        <v>0</v>
      </c>
      <c r="AQ107" s="188">
        <v>0</v>
      </c>
      <c r="AR107" s="188">
        <v>0</v>
      </c>
      <c r="AS107" s="178"/>
      <c r="AT107" s="303">
        <f>SUM(C107:AR107)</f>
        <v>0</v>
      </c>
    </row>
    <row r="108" spans="1:46" ht="11.25" customHeight="1" hidden="1" outlineLevel="1">
      <c r="A108" s="174"/>
      <c r="B108" s="174"/>
      <c r="C108" s="188"/>
      <c r="D108" s="188"/>
      <c r="E108" s="188"/>
      <c r="F108" s="189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9"/>
      <c r="AF108" s="189"/>
      <c r="AG108" s="189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78"/>
      <c r="AT108" s="303"/>
    </row>
    <row r="109" spans="1:46" ht="11.25" customHeight="1" hidden="1" outlineLevel="1">
      <c r="A109" s="174" t="s">
        <v>571</v>
      </c>
      <c r="B109" s="174"/>
      <c r="C109" s="188"/>
      <c r="D109" s="188"/>
      <c r="E109" s="188"/>
      <c r="F109" s="189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9"/>
      <c r="AF109" s="189"/>
      <c r="AG109" s="189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78"/>
      <c r="AT109" s="303"/>
    </row>
    <row r="110" spans="1:46" ht="11.25" customHeight="1" hidden="1" outlineLevel="1">
      <c r="A110" s="174" t="s">
        <v>115</v>
      </c>
      <c r="B110" s="174"/>
      <c r="C110" s="337">
        <v>0</v>
      </c>
      <c r="D110" s="337">
        <v>0</v>
      </c>
      <c r="E110" s="337">
        <v>0</v>
      </c>
      <c r="F110" s="337">
        <v>0</v>
      </c>
      <c r="G110" s="337">
        <v>-8062</v>
      </c>
      <c r="H110" s="337">
        <v>-10393</v>
      </c>
      <c r="I110" s="337">
        <v>-224</v>
      </c>
      <c r="J110" s="337">
        <v>0</v>
      </c>
      <c r="K110" s="337">
        <v>0</v>
      </c>
      <c r="L110" s="337">
        <v>0</v>
      </c>
      <c r="M110" s="337">
        <v>0</v>
      </c>
      <c r="N110" s="337">
        <v>0</v>
      </c>
      <c r="O110" s="337">
        <v>0</v>
      </c>
      <c r="P110" s="337">
        <v>0</v>
      </c>
      <c r="Q110" s="337">
        <v>0</v>
      </c>
      <c r="R110" s="337">
        <v>0</v>
      </c>
      <c r="S110" s="337">
        <v>0</v>
      </c>
      <c r="T110" s="337">
        <v>0</v>
      </c>
      <c r="U110" s="337">
        <v>0</v>
      </c>
      <c r="V110" s="337">
        <v>0</v>
      </c>
      <c r="W110" s="337">
        <v>0</v>
      </c>
      <c r="X110" s="337">
        <v>0</v>
      </c>
      <c r="Y110" s="337">
        <v>0</v>
      </c>
      <c r="Z110" s="337">
        <v>0</v>
      </c>
      <c r="AA110" s="337">
        <v>0</v>
      </c>
      <c r="AB110" s="337">
        <v>0</v>
      </c>
      <c r="AC110" s="337">
        <v>0</v>
      </c>
      <c r="AD110" s="337">
        <v>0</v>
      </c>
      <c r="AE110" s="337">
        <v>0</v>
      </c>
      <c r="AF110" s="337">
        <v>0</v>
      </c>
      <c r="AG110" s="337">
        <v>0</v>
      </c>
      <c r="AH110" s="337">
        <v>-56443</v>
      </c>
      <c r="AI110" s="337">
        <v>15407</v>
      </c>
      <c r="AJ110" s="337">
        <v>15868</v>
      </c>
      <c r="AK110" s="337">
        <v>22261</v>
      </c>
      <c r="AL110" s="337">
        <v>0</v>
      </c>
      <c r="AM110" s="337">
        <v>0</v>
      </c>
      <c r="AN110" s="337">
        <v>0</v>
      </c>
      <c r="AO110" s="337">
        <v>0</v>
      </c>
      <c r="AP110" s="337">
        <v>0</v>
      </c>
      <c r="AQ110" s="337">
        <v>0</v>
      </c>
      <c r="AR110" s="337">
        <v>0</v>
      </c>
      <c r="AS110" s="178"/>
      <c r="AT110" s="303">
        <f>SUM(C110:AR110)</f>
        <v>-21586</v>
      </c>
    </row>
    <row r="111" spans="1:46" ht="11.25" customHeight="1" hidden="1" outlineLevel="1">
      <c r="A111" s="174" t="s">
        <v>116</v>
      </c>
      <c r="B111" s="174"/>
      <c r="C111" s="337">
        <v>0</v>
      </c>
      <c r="D111" s="337">
        <v>0</v>
      </c>
      <c r="E111" s="337">
        <v>0</v>
      </c>
      <c r="F111" s="337">
        <v>0</v>
      </c>
      <c r="G111" s="337">
        <v>0</v>
      </c>
      <c r="H111" s="337">
        <v>0</v>
      </c>
      <c r="I111" s="337">
        <v>0</v>
      </c>
      <c r="J111" s="337">
        <v>0</v>
      </c>
      <c r="K111" s="337">
        <v>0</v>
      </c>
      <c r="L111" s="337">
        <v>0</v>
      </c>
      <c r="M111" s="337">
        <v>0</v>
      </c>
      <c r="N111" s="337">
        <v>0</v>
      </c>
      <c r="O111" s="337">
        <v>0</v>
      </c>
      <c r="P111" s="337">
        <v>0</v>
      </c>
      <c r="Q111" s="337">
        <v>0</v>
      </c>
      <c r="R111" s="337">
        <v>0</v>
      </c>
      <c r="S111" s="337">
        <v>0</v>
      </c>
      <c r="T111" s="337">
        <v>0</v>
      </c>
      <c r="U111" s="337">
        <v>0</v>
      </c>
      <c r="V111" s="337">
        <v>0</v>
      </c>
      <c r="W111" s="337">
        <v>0</v>
      </c>
      <c r="X111" s="337">
        <v>0</v>
      </c>
      <c r="Y111" s="337">
        <v>0</v>
      </c>
      <c r="Z111" s="337">
        <v>0</v>
      </c>
      <c r="AA111" s="337">
        <v>0</v>
      </c>
      <c r="AB111" s="337">
        <v>0</v>
      </c>
      <c r="AC111" s="337">
        <v>0</v>
      </c>
      <c r="AD111" s="337">
        <v>0</v>
      </c>
      <c r="AE111" s="337">
        <v>0</v>
      </c>
      <c r="AF111" s="337">
        <v>0</v>
      </c>
      <c r="AG111" s="337">
        <v>0</v>
      </c>
      <c r="AH111" s="337">
        <v>34272</v>
      </c>
      <c r="AI111" s="337">
        <v>17099</v>
      </c>
      <c r="AJ111" s="337">
        <v>5649</v>
      </c>
      <c r="AK111" s="337">
        <v>0</v>
      </c>
      <c r="AL111" s="337">
        <v>0</v>
      </c>
      <c r="AM111" s="337">
        <v>0</v>
      </c>
      <c r="AN111" s="337">
        <v>0</v>
      </c>
      <c r="AO111" s="337">
        <v>0</v>
      </c>
      <c r="AP111" s="337">
        <v>0</v>
      </c>
      <c r="AQ111" s="337">
        <v>0</v>
      </c>
      <c r="AR111" s="337">
        <v>0</v>
      </c>
      <c r="AS111" s="178"/>
      <c r="AT111" s="303">
        <f>SUM(C111:AR111)</f>
        <v>57020</v>
      </c>
    </row>
    <row r="112" spans="1:46" ht="11.25" customHeight="1" hidden="1" outlineLevel="1">
      <c r="A112" s="174" t="s">
        <v>117</v>
      </c>
      <c r="B112" s="174"/>
      <c r="C112" s="337">
        <v>0</v>
      </c>
      <c r="D112" s="337">
        <v>0</v>
      </c>
      <c r="E112" s="337">
        <v>0</v>
      </c>
      <c r="F112" s="337">
        <v>0</v>
      </c>
      <c r="G112" s="337">
        <v>0</v>
      </c>
      <c r="H112" s="337">
        <v>0</v>
      </c>
      <c r="I112" s="337">
        <v>0</v>
      </c>
      <c r="J112" s="337">
        <v>0</v>
      </c>
      <c r="K112" s="337">
        <v>0</v>
      </c>
      <c r="L112" s="337">
        <v>0</v>
      </c>
      <c r="M112" s="337">
        <v>0</v>
      </c>
      <c r="N112" s="337">
        <v>0</v>
      </c>
      <c r="O112" s="337">
        <v>0</v>
      </c>
      <c r="P112" s="337">
        <v>0</v>
      </c>
      <c r="Q112" s="337">
        <v>0</v>
      </c>
      <c r="R112" s="337">
        <v>0</v>
      </c>
      <c r="S112" s="337">
        <v>0</v>
      </c>
      <c r="T112" s="337">
        <v>0</v>
      </c>
      <c r="U112" s="337">
        <v>0</v>
      </c>
      <c r="V112" s="337">
        <v>0</v>
      </c>
      <c r="W112" s="337">
        <v>0</v>
      </c>
      <c r="X112" s="337">
        <v>0</v>
      </c>
      <c r="Y112" s="337">
        <v>0</v>
      </c>
      <c r="Z112" s="337">
        <v>0</v>
      </c>
      <c r="AA112" s="337">
        <v>0</v>
      </c>
      <c r="AB112" s="337">
        <v>0</v>
      </c>
      <c r="AC112" s="337">
        <v>0</v>
      </c>
      <c r="AD112" s="337">
        <v>0</v>
      </c>
      <c r="AE112" s="337">
        <v>0</v>
      </c>
      <c r="AF112" s="337">
        <v>0</v>
      </c>
      <c r="AG112" s="337">
        <v>0</v>
      </c>
      <c r="AH112" s="337">
        <v>0</v>
      </c>
      <c r="AI112" s="337">
        <v>0</v>
      </c>
      <c r="AJ112" s="337">
        <v>0</v>
      </c>
      <c r="AK112" s="337">
        <v>0</v>
      </c>
      <c r="AL112" s="337">
        <v>0</v>
      </c>
      <c r="AM112" s="337">
        <v>0</v>
      </c>
      <c r="AN112" s="337">
        <v>0</v>
      </c>
      <c r="AO112" s="337">
        <v>0</v>
      </c>
      <c r="AP112" s="337">
        <v>0</v>
      </c>
      <c r="AQ112" s="337">
        <v>0</v>
      </c>
      <c r="AR112" s="337">
        <v>0</v>
      </c>
      <c r="AS112" s="178"/>
      <c r="AT112" s="303">
        <f>SUM(C112:AR112)</f>
        <v>0</v>
      </c>
    </row>
    <row r="113" spans="1:46" ht="11.25" customHeight="1" hidden="1" outlineLevel="1">
      <c r="A113" s="174" t="s">
        <v>118</v>
      </c>
      <c r="B113" s="174"/>
      <c r="C113" s="337">
        <v>4445</v>
      </c>
      <c r="D113" s="337">
        <v>2868</v>
      </c>
      <c r="E113" s="337">
        <v>3462</v>
      </c>
      <c r="F113" s="337">
        <v>0</v>
      </c>
      <c r="G113" s="337">
        <v>743</v>
      </c>
      <c r="H113" s="337">
        <v>743</v>
      </c>
      <c r="I113" s="337">
        <v>0</v>
      </c>
      <c r="J113" s="337">
        <v>0</v>
      </c>
      <c r="K113" s="337">
        <v>0</v>
      </c>
      <c r="L113" s="337">
        <v>0</v>
      </c>
      <c r="M113" s="337">
        <v>0</v>
      </c>
      <c r="N113" s="337">
        <v>0</v>
      </c>
      <c r="O113" s="337">
        <v>0</v>
      </c>
      <c r="P113" s="337">
        <v>20747</v>
      </c>
      <c r="Q113" s="337">
        <v>61359</v>
      </c>
      <c r="R113" s="337">
        <v>4763</v>
      </c>
      <c r="S113" s="337">
        <v>8203</v>
      </c>
      <c r="T113" s="337">
        <v>0</v>
      </c>
      <c r="U113" s="337">
        <v>0</v>
      </c>
      <c r="V113" s="337">
        <v>92</v>
      </c>
      <c r="W113" s="337">
        <v>0</v>
      </c>
      <c r="X113" s="337">
        <v>0</v>
      </c>
      <c r="Y113" s="337">
        <v>0</v>
      </c>
      <c r="Z113" s="337">
        <v>0</v>
      </c>
      <c r="AA113" s="337">
        <v>152621</v>
      </c>
      <c r="AB113" s="337">
        <v>16689</v>
      </c>
      <c r="AC113" s="337">
        <v>24681</v>
      </c>
      <c r="AD113" s="337">
        <v>1161</v>
      </c>
      <c r="AE113" s="337">
        <v>0</v>
      </c>
      <c r="AF113" s="337">
        <v>-15959</v>
      </c>
      <c r="AG113" s="337">
        <v>-1531</v>
      </c>
      <c r="AH113" s="337">
        <v>73643</v>
      </c>
      <c r="AI113" s="337">
        <v>38870</v>
      </c>
      <c r="AJ113" s="337">
        <v>28663</v>
      </c>
      <c r="AK113" s="337">
        <v>19577</v>
      </c>
      <c r="AL113" s="337">
        <v>1454</v>
      </c>
      <c r="AM113" s="337">
        <v>465</v>
      </c>
      <c r="AN113" s="337">
        <v>888</v>
      </c>
      <c r="AO113" s="337">
        <v>0</v>
      </c>
      <c r="AP113" s="337">
        <v>0</v>
      </c>
      <c r="AQ113" s="337">
        <v>0</v>
      </c>
      <c r="AR113" s="337">
        <v>6713</v>
      </c>
      <c r="AS113" s="178"/>
      <c r="AT113" s="303">
        <f>SUM(C113:AR113)</f>
        <v>455360</v>
      </c>
    </row>
    <row r="114" spans="1:46" ht="11.25" customHeight="1" collapsed="1">
      <c r="A114" s="176" t="s">
        <v>119</v>
      </c>
      <c r="B114" s="176"/>
      <c r="C114" s="189">
        <f aca="true" t="shared" si="16" ref="C114:AR114">SUM(C110:C113)</f>
        <v>4445</v>
      </c>
      <c r="D114" s="189">
        <f t="shared" si="16"/>
        <v>2868</v>
      </c>
      <c r="E114" s="189">
        <f t="shared" si="16"/>
        <v>3462</v>
      </c>
      <c r="F114" s="189">
        <f t="shared" si="16"/>
        <v>0</v>
      </c>
      <c r="G114" s="189">
        <f t="shared" si="16"/>
        <v>-7319</v>
      </c>
      <c r="H114" s="189">
        <f t="shared" si="16"/>
        <v>-9650</v>
      </c>
      <c r="I114" s="189">
        <f t="shared" si="16"/>
        <v>-224</v>
      </c>
      <c r="J114" s="189">
        <f t="shared" si="16"/>
        <v>0</v>
      </c>
      <c r="K114" s="189">
        <f t="shared" si="16"/>
        <v>0</v>
      </c>
      <c r="L114" s="189">
        <f t="shared" si="16"/>
        <v>0</v>
      </c>
      <c r="M114" s="189">
        <f t="shared" si="16"/>
        <v>0</v>
      </c>
      <c r="N114" s="189">
        <f t="shared" si="16"/>
        <v>0</v>
      </c>
      <c r="O114" s="189">
        <f t="shared" si="16"/>
        <v>0</v>
      </c>
      <c r="P114" s="189">
        <f t="shared" si="16"/>
        <v>20747</v>
      </c>
      <c r="Q114" s="189">
        <f t="shared" si="16"/>
        <v>61359</v>
      </c>
      <c r="R114" s="189">
        <f t="shared" si="16"/>
        <v>4763</v>
      </c>
      <c r="S114" s="189">
        <f t="shared" si="16"/>
        <v>8203</v>
      </c>
      <c r="T114" s="189">
        <f>SUM(T110:T113)</f>
        <v>0</v>
      </c>
      <c r="U114" s="189">
        <f>SUM(U110:U113)</f>
        <v>0</v>
      </c>
      <c r="V114" s="189">
        <f t="shared" si="16"/>
        <v>92</v>
      </c>
      <c r="W114" s="189">
        <f t="shared" si="16"/>
        <v>0</v>
      </c>
      <c r="X114" s="189">
        <f t="shared" si="16"/>
        <v>0</v>
      </c>
      <c r="Y114" s="189">
        <f t="shared" si="16"/>
        <v>0</v>
      </c>
      <c r="Z114" s="189">
        <f t="shared" si="16"/>
        <v>0</v>
      </c>
      <c r="AA114" s="189">
        <f t="shared" si="16"/>
        <v>152621</v>
      </c>
      <c r="AB114" s="189">
        <f t="shared" si="16"/>
        <v>16689</v>
      </c>
      <c r="AC114" s="189">
        <f t="shared" si="16"/>
        <v>24681</v>
      </c>
      <c r="AD114" s="189">
        <f t="shared" si="16"/>
        <v>1161</v>
      </c>
      <c r="AE114" s="189">
        <f t="shared" si="16"/>
        <v>0</v>
      </c>
      <c r="AF114" s="189">
        <f t="shared" si="16"/>
        <v>-15959</v>
      </c>
      <c r="AG114" s="189">
        <f t="shared" si="16"/>
        <v>-1531</v>
      </c>
      <c r="AH114" s="189">
        <f>SUM(AH110:AH113)</f>
        <v>51472</v>
      </c>
      <c r="AI114" s="189">
        <f>SUM(AI110:AI113)</f>
        <v>71376</v>
      </c>
      <c r="AJ114" s="189">
        <f>SUM(AJ110:AJ113)</f>
        <v>50180</v>
      </c>
      <c r="AK114" s="189">
        <f>SUM(AK110:AK113)</f>
        <v>41838</v>
      </c>
      <c r="AL114" s="189">
        <f t="shared" si="16"/>
        <v>1454</v>
      </c>
      <c r="AM114" s="189">
        <f t="shared" si="16"/>
        <v>465</v>
      </c>
      <c r="AN114" s="189">
        <f t="shared" si="16"/>
        <v>888</v>
      </c>
      <c r="AO114" s="189">
        <f>SUM(AO110:AO113)</f>
        <v>0</v>
      </c>
      <c r="AP114" s="189">
        <f t="shared" si="16"/>
        <v>0</v>
      </c>
      <c r="AQ114" s="189">
        <f t="shared" si="16"/>
        <v>0</v>
      </c>
      <c r="AR114" s="189">
        <f t="shared" si="16"/>
        <v>6713</v>
      </c>
      <c r="AS114" s="178"/>
      <c r="AT114" s="303">
        <f>SUM(AT110:AT113)</f>
        <v>490794</v>
      </c>
    </row>
    <row r="115" spans="1:46" ht="11.25" customHeight="1">
      <c r="A115" s="176"/>
      <c r="B115" s="176"/>
      <c r="C115" s="189"/>
      <c r="D115" s="189"/>
      <c r="E115" s="189"/>
      <c r="F115" s="189"/>
      <c r="G115" s="188"/>
      <c r="H115" s="188"/>
      <c r="I115" s="188"/>
      <c r="J115" s="188"/>
      <c r="K115" s="188"/>
      <c r="L115" s="188"/>
      <c r="M115" s="188"/>
      <c r="N115" s="188"/>
      <c r="O115" s="189"/>
      <c r="P115" s="189"/>
      <c r="Q115" s="189"/>
      <c r="R115" s="189"/>
      <c r="S115" s="189"/>
      <c r="T115" s="188"/>
      <c r="U115" s="188"/>
      <c r="V115" s="188"/>
      <c r="W115" s="188"/>
      <c r="X115" s="188"/>
      <c r="Y115" s="188"/>
      <c r="Z115" s="189"/>
      <c r="AA115" s="189"/>
      <c r="AB115" s="189"/>
      <c r="AC115" s="189"/>
      <c r="AD115" s="189"/>
      <c r="AE115" s="189"/>
      <c r="AF115" s="188"/>
      <c r="AG115" s="188"/>
      <c r="AH115" s="189"/>
      <c r="AI115" s="189"/>
      <c r="AJ115" s="189"/>
      <c r="AK115" s="189"/>
      <c r="AL115" s="189"/>
      <c r="AM115" s="189"/>
      <c r="AN115" s="189"/>
      <c r="AO115" s="188"/>
      <c r="AP115" s="188"/>
      <c r="AQ115" s="188"/>
      <c r="AR115" s="189"/>
      <c r="AS115" s="178"/>
      <c r="AT115" s="303"/>
    </row>
    <row r="116" spans="1:46" ht="11.25" customHeight="1">
      <c r="A116" s="176" t="s">
        <v>120</v>
      </c>
      <c r="B116" s="176"/>
      <c r="C116" s="338">
        <v>0</v>
      </c>
      <c r="D116" s="338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  <c r="J116" s="338">
        <v>0</v>
      </c>
      <c r="K116" s="338">
        <v>0</v>
      </c>
      <c r="L116" s="338">
        <v>0</v>
      </c>
      <c r="M116" s="338">
        <v>0</v>
      </c>
      <c r="N116" s="338">
        <v>0</v>
      </c>
      <c r="O116" s="338">
        <v>0</v>
      </c>
      <c r="P116" s="338">
        <v>0</v>
      </c>
      <c r="Q116" s="338">
        <v>0</v>
      </c>
      <c r="R116" s="338">
        <v>0</v>
      </c>
      <c r="S116" s="338">
        <v>0</v>
      </c>
      <c r="T116" s="338">
        <v>0</v>
      </c>
      <c r="U116" s="338">
        <v>0</v>
      </c>
      <c r="V116" s="338">
        <v>0</v>
      </c>
      <c r="W116" s="338">
        <v>0</v>
      </c>
      <c r="X116" s="338">
        <v>0</v>
      </c>
      <c r="Y116" s="338">
        <v>0</v>
      </c>
      <c r="Z116" s="338">
        <v>0</v>
      </c>
      <c r="AA116" s="338">
        <v>0</v>
      </c>
      <c r="AB116" s="338">
        <v>0</v>
      </c>
      <c r="AC116" s="338">
        <v>0</v>
      </c>
      <c r="AD116" s="338">
        <v>0</v>
      </c>
      <c r="AE116" s="338">
        <v>0</v>
      </c>
      <c r="AF116" s="338">
        <v>0</v>
      </c>
      <c r="AG116" s="338">
        <v>0</v>
      </c>
      <c r="AH116" s="338">
        <v>108259</v>
      </c>
      <c r="AI116" s="338">
        <v>0</v>
      </c>
      <c r="AJ116" s="338">
        <v>0</v>
      </c>
      <c r="AK116" s="338">
        <v>0</v>
      </c>
      <c r="AL116" s="338">
        <v>0</v>
      </c>
      <c r="AM116" s="338">
        <v>0</v>
      </c>
      <c r="AN116" s="338">
        <v>0</v>
      </c>
      <c r="AO116" s="338">
        <v>0</v>
      </c>
      <c r="AP116" s="338">
        <v>0</v>
      </c>
      <c r="AQ116" s="338">
        <v>0</v>
      </c>
      <c r="AR116" s="338">
        <v>0</v>
      </c>
      <c r="AS116" s="178"/>
      <c r="AT116" s="303">
        <f>SUM(C116:AR116)</f>
        <v>108259</v>
      </c>
    </row>
    <row r="117" spans="1:46" ht="11.25" customHeight="1">
      <c r="A117" s="176"/>
      <c r="B117" s="176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9"/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  <c r="Y117" s="339"/>
      <c r="Z117" s="339"/>
      <c r="AA117" s="339"/>
      <c r="AB117" s="339"/>
      <c r="AC117" s="339"/>
      <c r="AD117" s="339"/>
      <c r="AE117" s="339"/>
      <c r="AF117" s="339"/>
      <c r="AG117" s="339"/>
      <c r="AH117" s="339"/>
      <c r="AI117" s="339"/>
      <c r="AJ117" s="339"/>
      <c r="AK117" s="339"/>
      <c r="AL117" s="339"/>
      <c r="AM117" s="339"/>
      <c r="AN117" s="339"/>
      <c r="AO117" s="339"/>
      <c r="AP117" s="339"/>
      <c r="AQ117" s="339"/>
      <c r="AR117" s="339"/>
      <c r="AS117" s="178"/>
      <c r="AT117" s="303"/>
    </row>
    <row r="118" spans="1:47" s="22" customFormat="1" ht="11.25" customHeight="1">
      <c r="A118" s="193" t="s">
        <v>121</v>
      </c>
      <c r="B118" s="193"/>
      <c r="C118" s="340">
        <f aca="true" t="shared" si="17" ref="C118:AR118">+C116+C114+C107</f>
        <v>4445</v>
      </c>
      <c r="D118" s="340">
        <f t="shared" si="17"/>
        <v>2868</v>
      </c>
      <c r="E118" s="340">
        <f t="shared" si="17"/>
        <v>3462</v>
      </c>
      <c r="F118" s="340">
        <f t="shared" si="17"/>
        <v>0</v>
      </c>
      <c r="G118" s="340">
        <f t="shared" si="17"/>
        <v>-7319</v>
      </c>
      <c r="H118" s="340">
        <f t="shared" si="17"/>
        <v>-9650</v>
      </c>
      <c r="I118" s="340">
        <f t="shared" si="17"/>
        <v>-224</v>
      </c>
      <c r="J118" s="340">
        <f t="shared" si="17"/>
        <v>0</v>
      </c>
      <c r="K118" s="340">
        <f t="shared" si="17"/>
        <v>0</v>
      </c>
      <c r="L118" s="340">
        <f t="shared" si="17"/>
        <v>0</v>
      </c>
      <c r="M118" s="340">
        <f t="shared" si="17"/>
        <v>0</v>
      </c>
      <c r="N118" s="340">
        <f t="shared" si="17"/>
        <v>0</v>
      </c>
      <c r="O118" s="340">
        <f t="shared" si="17"/>
        <v>0</v>
      </c>
      <c r="P118" s="340">
        <f t="shared" si="17"/>
        <v>20747</v>
      </c>
      <c r="Q118" s="340">
        <f t="shared" si="17"/>
        <v>61359</v>
      </c>
      <c r="R118" s="340">
        <f t="shared" si="17"/>
        <v>4763</v>
      </c>
      <c r="S118" s="340">
        <f t="shared" si="17"/>
        <v>8203</v>
      </c>
      <c r="T118" s="340">
        <f>+T116+T114+T107</f>
        <v>0</v>
      </c>
      <c r="U118" s="340">
        <f>+U116+U114+U107</f>
        <v>0</v>
      </c>
      <c r="V118" s="340">
        <f t="shared" si="17"/>
        <v>92</v>
      </c>
      <c r="W118" s="340">
        <f t="shared" si="17"/>
        <v>0</v>
      </c>
      <c r="X118" s="340">
        <f t="shared" si="17"/>
        <v>0</v>
      </c>
      <c r="Y118" s="340">
        <f t="shared" si="17"/>
        <v>0</v>
      </c>
      <c r="Z118" s="340">
        <f t="shared" si="17"/>
        <v>0</v>
      </c>
      <c r="AA118" s="340">
        <f t="shared" si="17"/>
        <v>152621</v>
      </c>
      <c r="AB118" s="340">
        <f t="shared" si="17"/>
        <v>16689</v>
      </c>
      <c r="AC118" s="340">
        <f t="shared" si="17"/>
        <v>24681</v>
      </c>
      <c r="AD118" s="340">
        <f t="shared" si="17"/>
        <v>1161</v>
      </c>
      <c r="AE118" s="340">
        <f t="shared" si="17"/>
        <v>0</v>
      </c>
      <c r="AF118" s="340">
        <f>+AF116+AF114+AF107</f>
        <v>-15959</v>
      </c>
      <c r="AG118" s="340">
        <f t="shared" si="17"/>
        <v>-1531</v>
      </c>
      <c r="AH118" s="340">
        <f>+AH116+AH114+AH107</f>
        <v>159731</v>
      </c>
      <c r="AI118" s="340">
        <f>+AI116+AI114+AI107</f>
        <v>71376</v>
      </c>
      <c r="AJ118" s="340">
        <f>+AJ116+AJ114+AJ107</f>
        <v>50180</v>
      </c>
      <c r="AK118" s="340">
        <f>+AK116+AK114+AK107</f>
        <v>41838</v>
      </c>
      <c r="AL118" s="340">
        <f t="shared" si="17"/>
        <v>1454</v>
      </c>
      <c r="AM118" s="340">
        <f t="shared" si="17"/>
        <v>465</v>
      </c>
      <c r="AN118" s="340">
        <f t="shared" si="17"/>
        <v>888</v>
      </c>
      <c r="AO118" s="340">
        <f>+AO116+AO114+AO107</f>
        <v>0</v>
      </c>
      <c r="AP118" s="340">
        <f t="shared" si="17"/>
        <v>0</v>
      </c>
      <c r="AQ118" s="340">
        <f t="shared" si="17"/>
        <v>0</v>
      </c>
      <c r="AR118" s="340">
        <f t="shared" si="17"/>
        <v>6713</v>
      </c>
      <c r="AS118" s="340"/>
      <c r="AT118" s="340">
        <f>+AT116+AT114+AT107</f>
        <v>599053</v>
      </c>
      <c r="AU118" s="25"/>
    </row>
    <row r="119" spans="1:46" ht="11.25" customHeight="1">
      <c r="A119" s="192"/>
      <c r="B119" s="192"/>
      <c r="C119" s="340"/>
      <c r="D119" s="340"/>
      <c r="E119" s="340"/>
      <c r="F119" s="340"/>
      <c r="G119" s="340"/>
      <c r="H119" s="340"/>
      <c r="I119" s="340"/>
      <c r="J119" s="340"/>
      <c r="K119" s="340"/>
      <c r="L119" s="340"/>
      <c r="M119" s="340"/>
      <c r="N119" s="340"/>
      <c r="O119" s="340"/>
      <c r="P119" s="340"/>
      <c r="Q119" s="340"/>
      <c r="R119" s="340"/>
      <c r="S119" s="340"/>
      <c r="T119" s="340"/>
      <c r="U119" s="340"/>
      <c r="V119" s="340"/>
      <c r="W119" s="340"/>
      <c r="X119" s="340"/>
      <c r="Y119" s="340"/>
      <c r="Z119" s="340"/>
      <c r="AA119" s="340"/>
      <c r="AB119" s="340"/>
      <c r="AC119" s="340"/>
      <c r="AD119" s="340"/>
      <c r="AE119" s="340"/>
      <c r="AF119" s="340"/>
      <c r="AG119" s="340"/>
      <c r="AH119" s="340"/>
      <c r="AI119" s="340"/>
      <c r="AJ119" s="340"/>
      <c r="AK119" s="340"/>
      <c r="AL119" s="340"/>
      <c r="AM119" s="340"/>
      <c r="AN119" s="340"/>
      <c r="AO119" s="340"/>
      <c r="AP119" s="340"/>
      <c r="AQ119" s="340"/>
      <c r="AR119" s="340"/>
      <c r="AS119" s="178"/>
      <c r="AT119" s="303"/>
    </row>
    <row r="120" spans="1:47" s="22" customFormat="1" ht="11.25" customHeight="1">
      <c r="A120" s="193" t="s">
        <v>280</v>
      </c>
      <c r="B120" s="193"/>
      <c r="C120" s="170">
        <f aca="true" t="shared" si="18" ref="C120:AR120">+C103-C118</f>
        <v>4478071</v>
      </c>
      <c r="D120" s="170">
        <f t="shared" si="18"/>
        <v>1559057</v>
      </c>
      <c r="E120" s="170">
        <f t="shared" si="18"/>
        <v>543171</v>
      </c>
      <c r="F120" s="170">
        <f t="shared" si="18"/>
        <v>6459948</v>
      </c>
      <c r="G120" s="170">
        <f t="shared" si="18"/>
        <v>906845</v>
      </c>
      <c r="H120" s="170">
        <f t="shared" si="18"/>
        <v>1311281</v>
      </c>
      <c r="I120" s="170">
        <f t="shared" si="18"/>
        <v>21944</v>
      </c>
      <c r="J120" s="170">
        <f t="shared" si="18"/>
        <v>80948</v>
      </c>
      <c r="K120" s="170">
        <f t="shared" si="18"/>
        <v>216698</v>
      </c>
      <c r="L120" s="170">
        <f t="shared" si="18"/>
        <v>91517</v>
      </c>
      <c r="M120" s="170">
        <f t="shared" si="18"/>
        <v>4937</v>
      </c>
      <c r="N120" s="170">
        <f t="shared" si="18"/>
        <v>363750</v>
      </c>
      <c r="O120" s="170">
        <f t="shared" si="18"/>
        <v>2463924</v>
      </c>
      <c r="P120" s="170">
        <f t="shared" si="18"/>
        <v>12837426</v>
      </c>
      <c r="Q120" s="170">
        <f t="shared" si="18"/>
        <v>34114129</v>
      </c>
      <c r="R120" s="170">
        <f t="shared" si="18"/>
        <v>3678525</v>
      </c>
      <c r="S120" s="170">
        <f t="shared" si="18"/>
        <v>2142624</v>
      </c>
      <c r="T120" s="170">
        <f>+T103-T118</f>
        <v>642955</v>
      </c>
      <c r="U120" s="170">
        <f>+U103-U118</f>
        <v>1962633</v>
      </c>
      <c r="V120" s="170">
        <f t="shared" si="18"/>
        <v>13584</v>
      </c>
      <c r="W120" s="170">
        <f t="shared" si="18"/>
        <v>940892</v>
      </c>
      <c r="X120" s="170">
        <f t="shared" si="18"/>
        <v>217384</v>
      </c>
      <c r="Y120" s="170">
        <f t="shared" si="18"/>
        <v>156858</v>
      </c>
      <c r="Z120" s="170">
        <f t="shared" si="18"/>
        <v>2158598</v>
      </c>
      <c r="AA120" s="170">
        <f t="shared" si="18"/>
        <v>45518639</v>
      </c>
      <c r="AB120" s="170">
        <f t="shared" si="18"/>
        <v>3090467</v>
      </c>
      <c r="AC120" s="170">
        <f t="shared" si="18"/>
        <v>4778288</v>
      </c>
      <c r="AD120" s="170">
        <f t="shared" si="18"/>
        <v>384381</v>
      </c>
      <c r="AE120" s="170">
        <f t="shared" si="18"/>
        <v>130634</v>
      </c>
      <c r="AF120" s="170">
        <f t="shared" si="18"/>
        <v>1949593</v>
      </c>
      <c r="AG120" s="170">
        <f t="shared" si="18"/>
        <v>99507</v>
      </c>
      <c r="AH120" s="170">
        <f>+AH103-AH118</f>
        <v>11664801</v>
      </c>
      <c r="AI120" s="170">
        <f>+AI103-AI118</f>
        <v>7488084</v>
      </c>
      <c r="AJ120" s="170">
        <f>+AJ103-AJ118</f>
        <v>5197013</v>
      </c>
      <c r="AK120" s="170">
        <f>+AK103-AK118</f>
        <v>2973377</v>
      </c>
      <c r="AL120" s="170">
        <f t="shared" si="18"/>
        <v>675296</v>
      </c>
      <c r="AM120" s="170">
        <f t="shared" si="18"/>
        <v>105682</v>
      </c>
      <c r="AN120" s="170">
        <f t="shared" si="18"/>
        <v>53452</v>
      </c>
      <c r="AO120" s="170">
        <f>+AO103-AO118</f>
        <v>364924</v>
      </c>
      <c r="AP120" s="170">
        <f t="shared" si="18"/>
        <v>40718</v>
      </c>
      <c r="AQ120" s="170">
        <f t="shared" si="18"/>
        <v>138790</v>
      </c>
      <c r="AR120" s="170">
        <f t="shared" si="18"/>
        <v>2482828</v>
      </c>
      <c r="AS120" s="170"/>
      <c r="AT120" s="213">
        <f>SUM(C120:AR120)</f>
        <v>164504173</v>
      </c>
      <c r="AU120" s="25"/>
    </row>
    <row r="121" spans="1:47" s="22" customFormat="1" ht="11.25" customHeight="1">
      <c r="A121" s="193"/>
      <c r="B121" s="193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  <c r="AJ121" s="341"/>
      <c r="AK121" s="341"/>
      <c r="AL121" s="341"/>
      <c r="AM121" s="341"/>
      <c r="AN121" s="341"/>
      <c r="AO121" s="341"/>
      <c r="AP121" s="341"/>
      <c r="AQ121" s="341"/>
      <c r="AR121" s="341"/>
      <c r="AS121" s="170"/>
      <c r="AT121" s="303"/>
      <c r="AU121" s="25"/>
    </row>
    <row r="122" spans="1:46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303"/>
    </row>
    <row r="123" spans="1:46" ht="15.75" customHeight="1">
      <c r="A123" s="204" t="s">
        <v>122</v>
      </c>
      <c r="B123" s="205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  <c r="AO123" s="342"/>
      <c r="AP123" s="342"/>
      <c r="AQ123" s="342"/>
      <c r="AR123" s="342"/>
      <c r="AS123" s="178"/>
      <c r="AT123" s="303"/>
    </row>
    <row r="124" spans="1:46" ht="11.25" customHeight="1" hidden="1" outlineLevel="1">
      <c r="A124" s="176" t="s">
        <v>123</v>
      </c>
      <c r="B124" s="176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  <c r="AM124" s="342"/>
      <c r="AN124" s="342"/>
      <c r="AO124" s="342"/>
      <c r="AP124" s="342"/>
      <c r="AQ124" s="342"/>
      <c r="AR124" s="342"/>
      <c r="AS124" s="178"/>
      <c r="AT124" s="303"/>
    </row>
    <row r="125" spans="1:46" ht="11.25" customHeight="1" hidden="1" outlineLevel="1">
      <c r="A125" s="174" t="s">
        <v>124</v>
      </c>
      <c r="B125" s="174"/>
      <c r="C125" s="343">
        <v>393921</v>
      </c>
      <c r="D125" s="343">
        <v>264752</v>
      </c>
      <c r="E125" s="343">
        <v>98879</v>
      </c>
      <c r="F125" s="343">
        <v>597425</v>
      </c>
      <c r="G125" s="343">
        <v>98320</v>
      </c>
      <c r="H125" s="343">
        <v>115643</v>
      </c>
      <c r="I125" s="343">
        <v>1714</v>
      </c>
      <c r="J125" s="343">
        <v>5250</v>
      </c>
      <c r="K125" s="343">
        <v>14055</v>
      </c>
      <c r="L125" s="343">
        <v>5936</v>
      </c>
      <c r="M125" s="343">
        <v>320</v>
      </c>
      <c r="N125" s="343">
        <v>23592</v>
      </c>
      <c r="O125" s="343">
        <v>159808</v>
      </c>
      <c r="P125" s="343">
        <v>1849069</v>
      </c>
      <c r="Q125" s="343">
        <v>2398048</v>
      </c>
      <c r="R125" s="343">
        <v>455243</v>
      </c>
      <c r="S125" s="343">
        <v>752720</v>
      </c>
      <c r="T125" s="343">
        <v>105554</v>
      </c>
      <c r="U125" s="343">
        <v>120235</v>
      </c>
      <c r="V125" s="343">
        <v>3911</v>
      </c>
      <c r="W125" s="343">
        <v>111767</v>
      </c>
      <c r="X125" s="343">
        <v>6420</v>
      </c>
      <c r="Y125" s="343">
        <v>14214</v>
      </c>
      <c r="Z125" s="343">
        <v>78802</v>
      </c>
      <c r="AA125" s="343">
        <v>4195456</v>
      </c>
      <c r="AB125" s="343">
        <v>321584</v>
      </c>
      <c r="AC125" s="343">
        <v>238759</v>
      </c>
      <c r="AD125" s="343">
        <v>43668</v>
      </c>
      <c r="AE125" s="343">
        <v>23387</v>
      </c>
      <c r="AF125" s="343">
        <v>416784</v>
      </c>
      <c r="AG125" s="343">
        <v>58243</v>
      </c>
      <c r="AH125" s="343">
        <v>2684936</v>
      </c>
      <c r="AI125" s="343">
        <v>1499699</v>
      </c>
      <c r="AJ125" s="343">
        <v>984765</v>
      </c>
      <c r="AK125" s="343">
        <v>605022</v>
      </c>
      <c r="AL125" s="343">
        <v>273963</v>
      </c>
      <c r="AM125" s="343">
        <v>116833</v>
      </c>
      <c r="AN125" s="343">
        <v>14282</v>
      </c>
      <c r="AO125" s="343">
        <v>25150</v>
      </c>
      <c r="AP125" s="343">
        <v>6906</v>
      </c>
      <c r="AQ125" s="343">
        <v>16467</v>
      </c>
      <c r="AR125" s="343">
        <v>83004</v>
      </c>
      <c r="AS125" s="178"/>
      <c r="AT125" s="303">
        <f aca="true" t="shared" si="19" ref="AT125:AT133">SUM(C125:AR125)</f>
        <v>19284506</v>
      </c>
    </row>
    <row r="126" spans="1:46" ht="11.25" customHeight="1" hidden="1" outlineLevel="1">
      <c r="A126" s="174" t="s">
        <v>125</v>
      </c>
      <c r="B126" s="174"/>
      <c r="C126" s="343">
        <v>50764</v>
      </c>
      <c r="D126" s="343">
        <v>13434</v>
      </c>
      <c r="E126" s="343">
        <v>58158</v>
      </c>
      <c r="F126" s="343">
        <v>148668</v>
      </c>
      <c r="G126" s="343">
        <v>30826</v>
      </c>
      <c r="H126" s="343">
        <v>32522</v>
      </c>
      <c r="I126" s="343">
        <v>2183</v>
      </c>
      <c r="J126" s="343">
        <v>3470</v>
      </c>
      <c r="K126" s="343">
        <v>9288</v>
      </c>
      <c r="L126" s="343">
        <v>3923</v>
      </c>
      <c r="M126" s="343">
        <v>212</v>
      </c>
      <c r="N126" s="343">
        <v>15592</v>
      </c>
      <c r="O126" s="343">
        <v>105612</v>
      </c>
      <c r="P126" s="343">
        <v>55651</v>
      </c>
      <c r="Q126" s="343">
        <v>204428</v>
      </c>
      <c r="R126" s="343">
        <v>78847</v>
      </c>
      <c r="S126" s="343">
        <v>16416</v>
      </c>
      <c r="T126" s="343">
        <v>91899</v>
      </c>
      <c r="U126" s="343">
        <v>8552</v>
      </c>
      <c r="V126" s="343">
        <v>1322</v>
      </c>
      <c r="W126" s="343">
        <v>41513</v>
      </c>
      <c r="X126" s="343">
        <v>4988</v>
      </c>
      <c r="Y126" s="343">
        <v>2771</v>
      </c>
      <c r="Z126" s="343">
        <v>187030</v>
      </c>
      <c r="AA126" s="343">
        <v>1016015</v>
      </c>
      <c r="AB126" s="343">
        <v>148954</v>
      </c>
      <c r="AC126" s="343">
        <v>504160</v>
      </c>
      <c r="AD126" s="343">
        <v>14694</v>
      </c>
      <c r="AE126" s="343">
        <v>0</v>
      </c>
      <c r="AF126" s="343">
        <v>9918</v>
      </c>
      <c r="AG126" s="343">
        <v>459</v>
      </c>
      <c r="AH126" s="343">
        <v>316161</v>
      </c>
      <c r="AI126" s="343">
        <v>188776</v>
      </c>
      <c r="AJ126" s="343">
        <v>54637</v>
      </c>
      <c r="AK126" s="343">
        <v>148545</v>
      </c>
      <c r="AL126" s="343">
        <v>0</v>
      </c>
      <c r="AM126" s="343">
        <v>0</v>
      </c>
      <c r="AN126" s="343">
        <v>0</v>
      </c>
      <c r="AO126" s="343">
        <v>2585</v>
      </c>
      <c r="AP126" s="343">
        <v>66</v>
      </c>
      <c r="AQ126" s="343">
        <v>100</v>
      </c>
      <c r="AR126" s="343">
        <v>35662</v>
      </c>
      <c r="AS126" s="178"/>
      <c r="AT126" s="303">
        <f t="shared" si="19"/>
        <v>3608801</v>
      </c>
    </row>
    <row r="127" spans="1:46" ht="11.25" customHeight="1" hidden="1" outlineLevel="1">
      <c r="A127" s="174" t="s">
        <v>126</v>
      </c>
      <c r="B127" s="174"/>
      <c r="C127" s="343">
        <v>0</v>
      </c>
      <c r="D127" s="343">
        <v>0</v>
      </c>
      <c r="E127" s="343">
        <v>0</v>
      </c>
      <c r="F127" s="343">
        <v>0</v>
      </c>
      <c r="G127" s="343">
        <v>0</v>
      </c>
      <c r="H127" s="343">
        <v>0</v>
      </c>
      <c r="I127" s="343">
        <v>0</v>
      </c>
      <c r="J127" s="343">
        <v>0</v>
      </c>
      <c r="K127" s="343">
        <v>0</v>
      </c>
      <c r="L127" s="343">
        <v>0</v>
      </c>
      <c r="M127" s="343">
        <v>0</v>
      </c>
      <c r="N127" s="343">
        <v>0</v>
      </c>
      <c r="O127" s="343">
        <v>0</v>
      </c>
      <c r="P127" s="343">
        <v>0</v>
      </c>
      <c r="Q127" s="343">
        <v>0</v>
      </c>
      <c r="R127" s="343">
        <v>0</v>
      </c>
      <c r="S127" s="343">
        <v>0</v>
      </c>
      <c r="T127" s="343">
        <v>0</v>
      </c>
      <c r="U127" s="343">
        <v>0</v>
      </c>
      <c r="V127" s="343">
        <v>0</v>
      </c>
      <c r="W127" s="343">
        <v>0</v>
      </c>
      <c r="X127" s="343">
        <v>0</v>
      </c>
      <c r="Y127" s="343">
        <v>0</v>
      </c>
      <c r="Z127" s="343">
        <v>0</v>
      </c>
      <c r="AA127" s="343">
        <v>0</v>
      </c>
      <c r="AB127" s="343">
        <v>0</v>
      </c>
      <c r="AC127" s="343">
        <v>0</v>
      </c>
      <c r="AD127" s="343">
        <v>0</v>
      </c>
      <c r="AE127" s="343">
        <v>0</v>
      </c>
      <c r="AF127" s="343">
        <v>0</v>
      </c>
      <c r="AG127" s="343">
        <v>0</v>
      </c>
      <c r="AH127" s="343">
        <v>0</v>
      </c>
      <c r="AI127" s="343">
        <v>0</v>
      </c>
      <c r="AJ127" s="343">
        <v>0</v>
      </c>
      <c r="AK127" s="343">
        <v>0</v>
      </c>
      <c r="AL127" s="343">
        <v>0</v>
      </c>
      <c r="AM127" s="343">
        <v>0</v>
      </c>
      <c r="AN127" s="343">
        <v>0</v>
      </c>
      <c r="AO127" s="343">
        <v>0</v>
      </c>
      <c r="AP127" s="343">
        <v>0</v>
      </c>
      <c r="AQ127" s="343">
        <v>0</v>
      </c>
      <c r="AR127" s="343">
        <v>0</v>
      </c>
      <c r="AS127" s="178"/>
      <c r="AT127" s="303">
        <f t="shared" si="19"/>
        <v>0</v>
      </c>
    </row>
    <row r="128" spans="1:46" ht="11.25" customHeight="1" hidden="1" outlineLevel="1">
      <c r="A128" s="174" t="s">
        <v>127</v>
      </c>
      <c r="B128" s="174"/>
      <c r="C128" s="343">
        <v>0</v>
      </c>
      <c r="D128" s="343">
        <v>0</v>
      </c>
      <c r="E128" s="343">
        <v>0</v>
      </c>
      <c r="F128" s="343">
        <v>57159</v>
      </c>
      <c r="G128" s="343">
        <v>27226</v>
      </c>
      <c r="H128" s="343">
        <v>50609</v>
      </c>
      <c r="I128" s="343">
        <v>0</v>
      </c>
      <c r="J128" s="343">
        <v>6371</v>
      </c>
      <c r="K128" s="343">
        <v>17055</v>
      </c>
      <c r="L128" s="343">
        <v>7203</v>
      </c>
      <c r="M128" s="343">
        <v>389</v>
      </c>
      <c r="N128" s="343">
        <v>28629</v>
      </c>
      <c r="O128" s="343">
        <v>193923</v>
      </c>
      <c r="P128" s="343">
        <v>49554</v>
      </c>
      <c r="Q128" s="343">
        <v>253026</v>
      </c>
      <c r="R128" s="343">
        <v>57079</v>
      </c>
      <c r="S128" s="343">
        <v>465</v>
      </c>
      <c r="T128" s="343">
        <v>0</v>
      </c>
      <c r="U128" s="343">
        <v>0</v>
      </c>
      <c r="V128" s="343">
        <v>0</v>
      </c>
      <c r="W128" s="343">
        <v>90486</v>
      </c>
      <c r="X128" s="343">
        <v>11869</v>
      </c>
      <c r="Y128" s="343">
        <v>0</v>
      </c>
      <c r="Z128" s="343">
        <v>232651</v>
      </c>
      <c r="AA128" s="343">
        <v>1048613</v>
      </c>
      <c r="AB128" s="343">
        <v>76961</v>
      </c>
      <c r="AC128" s="343">
        <v>297842</v>
      </c>
      <c r="AD128" s="343">
        <v>0</v>
      </c>
      <c r="AE128" s="343">
        <v>0</v>
      </c>
      <c r="AF128" s="343">
        <v>0</v>
      </c>
      <c r="AG128" s="343">
        <v>0</v>
      </c>
      <c r="AH128" s="343">
        <v>27775</v>
      </c>
      <c r="AI128" s="343">
        <v>59534</v>
      </c>
      <c r="AJ128" s="343">
        <v>25745</v>
      </c>
      <c r="AK128" s="343">
        <v>0</v>
      </c>
      <c r="AL128" s="343">
        <v>0</v>
      </c>
      <c r="AM128" s="343">
        <v>0</v>
      </c>
      <c r="AN128" s="343">
        <v>0</v>
      </c>
      <c r="AO128" s="343">
        <v>3367</v>
      </c>
      <c r="AP128" s="343">
        <v>0</v>
      </c>
      <c r="AQ128" s="343">
        <v>0</v>
      </c>
      <c r="AR128" s="343">
        <v>28457</v>
      </c>
      <c r="AS128" s="178"/>
      <c r="AT128" s="303">
        <f t="shared" si="19"/>
        <v>2651988</v>
      </c>
    </row>
    <row r="129" spans="1:46" ht="11.25" customHeight="1" hidden="1" outlineLevel="1">
      <c r="A129" s="174" t="s">
        <v>128</v>
      </c>
      <c r="B129" s="174"/>
      <c r="C129" s="343">
        <v>1373651</v>
      </c>
      <c r="D129" s="343">
        <v>423497</v>
      </c>
      <c r="E129" s="343">
        <v>0</v>
      </c>
      <c r="F129" s="343">
        <v>296760</v>
      </c>
      <c r="G129" s="343">
        <v>41234</v>
      </c>
      <c r="H129" s="343">
        <v>44084</v>
      </c>
      <c r="I129" s="343">
        <v>0</v>
      </c>
      <c r="J129" s="343">
        <v>6877</v>
      </c>
      <c r="K129" s="343">
        <v>18409</v>
      </c>
      <c r="L129" s="343">
        <v>7774</v>
      </c>
      <c r="M129" s="343">
        <v>419</v>
      </c>
      <c r="N129" s="343">
        <v>30901</v>
      </c>
      <c r="O129" s="343">
        <v>209311</v>
      </c>
      <c r="P129" s="343">
        <v>5064283</v>
      </c>
      <c r="Q129" s="343">
        <v>12658668</v>
      </c>
      <c r="R129" s="343">
        <v>1141789</v>
      </c>
      <c r="S129" s="343">
        <v>1795026</v>
      </c>
      <c r="T129" s="343">
        <v>173410</v>
      </c>
      <c r="U129" s="343">
        <v>767976</v>
      </c>
      <c r="V129" s="343">
        <v>0</v>
      </c>
      <c r="W129" s="343">
        <v>0</v>
      </c>
      <c r="X129" s="343">
        <v>69410</v>
      </c>
      <c r="Y129" s="343">
        <v>69164</v>
      </c>
      <c r="Z129" s="343">
        <v>439890</v>
      </c>
      <c r="AA129" s="343">
        <v>21606842</v>
      </c>
      <c r="AB129" s="343">
        <v>1473356</v>
      </c>
      <c r="AC129" s="343">
        <v>553772</v>
      </c>
      <c r="AD129" s="343">
        <v>0</v>
      </c>
      <c r="AE129" s="343">
        <v>0</v>
      </c>
      <c r="AF129" s="343">
        <v>0</v>
      </c>
      <c r="AG129" s="343">
        <v>0</v>
      </c>
      <c r="AH129" s="343">
        <v>10433124</v>
      </c>
      <c r="AI129" s="343">
        <v>4448531</v>
      </c>
      <c r="AJ129" s="343">
        <v>2694829</v>
      </c>
      <c r="AK129" s="343">
        <v>2704069</v>
      </c>
      <c r="AL129" s="343">
        <v>0</v>
      </c>
      <c r="AM129" s="343">
        <v>0</v>
      </c>
      <c r="AN129" s="343">
        <v>0</v>
      </c>
      <c r="AO129" s="343">
        <v>44080</v>
      </c>
      <c r="AP129" s="343">
        <v>11406</v>
      </c>
      <c r="AQ129" s="343">
        <v>57404</v>
      </c>
      <c r="AR129" s="343">
        <v>2084810</v>
      </c>
      <c r="AS129" s="178"/>
      <c r="AT129" s="303">
        <f t="shared" si="19"/>
        <v>70744756</v>
      </c>
    </row>
    <row r="130" spans="1:46" ht="11.25" customHeight="1" hidden="1" outlineLevel="1">
      <c r="A130" s="174" t="s">
        <v>129</v>
      </c>
      <c r="B130" s="174"/>
      <c r="C130" s="343">
        <v>0</v>
      </c>
      <c r="D130" s="343">
        <v>0</v>
      </c>
      <c r="E130" s="343">
        <v>0</v>
      </c>
      <c r="F130" s="343">
        <v>16590</v>
      </c>
      <c r="G130" s="343">
        <v>23591</v>
      </c>
      <c r="H130" s="343">
        <v>127449</v>
      </c>
      <c r="I130" s="343">
        <v>0</v>
      </c>
      <c r="J130" s="343">
        <v>2612</v>
      </c>
      <c r="K130" s="343">
        <v>6992</v>
      </c>
      <c r="L130" s="343">
        <v>2953</v>
      </c>
      <c r="M130" s="343">
        <v>159</v>
      </c>
      <c r="N130" s="343">
        <v>11737</v>
      </c>
      <c r="O130" s="343">
        <v>79500</v>
      </c>
      <c r="P130" s="343">
        <v>491494</v>
      </c>
      <c r="Q130" s="343">
        <v>405781</v>
      </c>
      <c r="R130" s="343">
        <v>63425</v>
      </c>
      <c r="S130" s="343">
        <v>0</v>
      </c>
      <c r="T130" s="343">
        <v>838958</v>
      </c>
      <c r="U130" s="343">
        <v>731045</v>
      </c>
      <c r="V130" s="343">
        <v>0</v>
      </c>
      <c r="W130" s="343">
        <v>0</v>
      </c>
      <c r="X130" s="343">
        <v>0</v>
      </c>
      <c r="Y130" s="343">
        <v>0</v>
      </c>
      <c r="Z130" s="343">
        <v>0</v>
      </c>
      <c r="AA130" s="343">
        <v>9572065</v>
      </c>
      <c r="AB130" s="343">
        <v>823286</v>
      </c>
      <c r="AC130" s="343">
        <v>7142667</v>
      </c>
      <c r="AD130" s="343">
        <v>0</v>
      </c>
      <c r="AE130" s="343">
        <v>0</v>
      </c>
      <c r="AF130" s="343">
        <v>0</v>
      </c>
      <c r="AG130" s="343">
        <v>0</v>
      </c>
      <c r="AH130" s="343">
        <v>40000</v>
      </c>
      <c r="AI130" s="343">
        <v>30000</v>
      </c>
      <c r="AJ130" s="343">
        <v>20000</v>
      </c>
      <c r="AK130" s="343">
        <v>0</v>
      </c>
      <c r="AL130" s="343">
        <v>0</v>
      </c>
      <c r="AM130" s="343">
        <v>0</v>
      </c>
      <c r="AN130" s="343">
        <v>0</v>
      </c>
      <c r="AO130" s="343">
        <v>0</v>
      </c>
      <c r="AP130" s="343">
        <v>4454</v>
      </c>
      <c r="AQ130" s="343">
        <v>3167</v>
      </c>
      <c r="AR130" s="343">
        <v>0</v>
      </c>
      <c r="AS130" s="178"/>
      <c r="AT130" s="303">
        <f t="shared" si="19"/>
        <v>20437925</v>
      </c>
    </row>
    <row r="131" spans="1:46" ht="11.25" customHeight="1" hidden="1" outlineLevel="1">
      <c r="A131" s="174" t="s">
        <v>130</v>
      </c>
      <c r="B131" s="174"/>
      <c r="C131" s="343">
        <v>0</v>
      </c>
      <c r="D131" s="343">
        <v>0</v>
      </c>
      <c r="E131" s="343">
        <v>0</v>
      </c>
      <c r="F131" s="343">
        <v>0</v>
      </c>
      <c r="G131" s="343">
        <v>0</v>
      </c>
      <c r="H131" s="343">
        <v>0</v>
      </c>
      <c r="I131" s="343">
        <v>0</v>
      </c>
      <c r="J131" s="343">
        <v>0</v>
      </c>
      <c r="K131" s="343">
        <v>0</v>
      </c>
      <c r="L131" s="343">
        <v>0</v>
      </c>
      <c r="M131" s="343">
        <v>0</v>
      </c>
      <c r="N131" s="343">
        <v>0</v>
      </c>
      <c r="O131" s="343">
        <v>0</v>
      </c>
      <c r="P131" s="343">
        <v>0</v>
      </c>
      <c r="Q131" s="343">
        <v>0</v>
      </c>
      <c r="R131" s="343">
        <v>0</v>
      </c>
      <c r="S131" s="343">
        <v>32665</v>
      </c>
      <c r="T131" s="343">
        <v>0</v>
      </c>
      <c r="U131" s="343">
        <v>0</v>
      </c>
      <c r="V131" s="343">
        <v>0</v>
      </c>
      <c r="W131" s="343">
        <v>0</v>
      </c>
      <c r="X131" s="343">
        <v>0</v>
      </c>
      <c r="Y131" s="343">
        <v>0</v>
      </c>
      <c r="Z131" s="343">
        <v>0</v>
      </c>
      <c r="AA131" s="343">
        <v>0</v>
      </c>
      <c r="AB131" s="343">
        <v>0</v>
      </c>
      <c r="AC131" s="343">
        <v>0</v>
      </c>
      <c r="AD131" s="343">
        <v>0</v>
      </c>
      <c r="AE131" s="343">
        <v>0</v>
      </c>
      <c r="AF131" s="343">
        <v>0</v>
      </c>
      <c r="AG131" s="343">
        <v>0</v>
      </c>
      <c r="AH131" s="343">
        <v>0</v>
      </c>
      <c r="AI131" s="343">
        <v>0</v>
      </c>
      <c r="AJ131" s="343">
        <v>0</v>
      </c>
      <c r="AK131" s="343">
        <v>0</v>
      </c>
      <c r="AL131" s="343">
        <v>0</v>
      </c>
      <c r="AM131" s="343">
        <v>0</v>
      </c>
      <c r="AN131" s="343">
        <v>0</v>
      </c>
      <c r="AO131" s="343">
        <v>0</v>
      </c>
      <c r="AP131" s="343">
        <v>0</v>
      </c>
      <c r="AQ131" s="343">
        <v>0</v>
      </c>
      <c r="AR131" s="343">
        <v>0</v>
      </c>
      <c r="AS131" s="178"/>
      <c r="AT131" s="303">
        <f t="shared" si="19"/>
        <v>32665</v>
      </c>
    </row>
    <row r="132" spans="1:46" ht="11.25" customHeight="1" hidden="1" outlineLevel="1">
      <c r="A132" s="174" t="s">
        <v>131</v>
      </c>
      <c r="B132" s="174"/>
      <c r="C132" s="343">
        <v>0</v>
      </c>
      <c r="D132" s="343">
        <v>0</v>
      </c>
      <c r="E132" s="343">
        <v>0</v>
      </c>
      <c r="F132" s="343">
        <v>0</v>
      </c>
      <c r="G132" s="343">
        <v>0</v>
      </c>
      <c r="H132" s="343">
        <v>0</v>
      </c>
      <c r="I132" s="343">
        <v>0</v>
      </c>
      <c r="J132" s="343">
        <v>0</v>
      </c>
      <c r="K132" s="343">
        <v>0</v>
      </c>
      <c r="L132" s="343">
        <v>0</v>
      </c>
      <c r="M132" s="343">
        <v>0</v>
      </c>
      <c r="N132" s="343">
        <v>0</v>
      </c>
      <c r="O132" s="343">
        <v>0</v>
      </c>
      <c r="P132" s="343">
        <v>0</v>
      </c>
      <c r="Q132" s="343">
        <v>0</v>
      </c>
      <c r="R132" s="343">
        <v>0</v>
      </c>
      <c r="S132" s="343">
        <v>0</v>
      </c>
      <c r="T132" s="343">
        <v>0</v>
      </c>
      <c r="U132" s="343">
        <v>0</v>
      </c>
      <c r="V132" s="343">
        <v>0</v>
      </c>
      <c r="W132" s="343">
        <v>0</v>
      </c>
      <c r="X132" s="343">
        <v>0</v>
      </c>
      <c r="Y132" s="343">
        <v>0</v>
      </c>
      <c r="Z132" s="343">
        <v>0</v>
      </c>
      <c r="AA132" s="343">
        <v>0</v>
      </c>
      <c r="AB132" s="343">
        <v>0</v>
      </c>
      <c r="AC132" s="343">
        <v>0</v>
      </c>
      <c r="AD132" s="343">
        <v>0</v>
      </c>
      <c r="AE132" s="343">
        <v>0</v>
      </c>
      <c r="AF132" s="343">
        <v>0</v>
      </c>
      <c r="AG132" s="343">
        <v>0</v>
      </c>
      <c r="AH132" s="343">
        <v>0</v>
      </c>
      <c r="AI132" s="343">
        <v>0</v>
      </c>
      <c r="AJ132" s="343">
        <v>0</v>
      </c>
      <c r="AK132" s="343">
        <v>0</v>
      </c>
      <c r="AL132" s="343">
        <v>0</v>
      </c>
      <c r="AM132" s="343">
        <v>0</v>
      </c>
      <c r="AN132" s="343">
        <v>0</v>
      </c>
      <c r="AO132" s="343">
        <v>0</v>
      </c>
      <c r="AP132" s="343">
        <v>0</v>
      </c>
      <c r="AQ132" s="343">
        <v>0</v>
      </c>
      <c r="AR132" s="343">
        <v>0</v>
      </c>
      <c r="AS132" s="178"/>
      <c r="AT132" s="303">
        <f t="shared" si="19"/>
        <v>0</v>
      </c>
    </row>
    <row r="133" spans="1:46" ht="11.25" customHeight="1" hidden="1" outlineLevel="1">
      <c r="A133" s="174" t="s">
        <v>132</v>
      </c>
      <c r="B133" s="174"/>
      <c r="C133" s="343">
        <v>0</v>
      </c>
      <c r="D133" s="343">
        <v>0</v>
      </c>
      <c r="E133" s="343">
        <v>0</v>
      </c>
      <c r="F133" s="343">
        <v>0</v>
      </c>
      <c r="G133" s="343">
        <v>0</v>
      </c>
      <c r="H133" s="343">
        <v>4409</v>
      </c>
      <c r="I133" s="343">
        <v>0</v>
      </c>
      <c r="J133" s="343">
        <v>0</v>
      </c>
      <c r="K133" s="343">
        <v>0</v>
      </c>
      <c r="L133" s="343">
        <v>0</v>
      </c>
      <c r="M133" s="343">
        <v>0</v>
      </c>
      <c r="N133" s="343">
        <v>0</v>
      </c>
      <c r="O133" s="343">
        <v>0</v>
      </c>
      <c r="P133" s="343">
        <v>-3025</v>
      </c>
      <c r="Q133" s="343">
        <v>-8216</v>
      </c>
      <c r="R133" s="343">
        <v>426</v>
      </c>
      <c r="S133" s="343">
        <v>8203</v>
      </c>
      <c r="T133" s="343">
        <v>564</v>
      </c>
      <c r="U133" s="343">
        <v>1720</v>
      </c>
      <c r="V133" s="343">
        <v>162</v>
      </c>
      <c r="W133" s="343">
        <v>0</v>
      </c>
      <c r="X133" s="343">
        <v>0</v>
      </c>
      <c r="Y133" s="343">
        <v>0</v>
      </c>
      <c r="Z133" s="343">
        <v>679</v>
      </c>
      <c r="AA133" s="343">
        <v>0</v>
      </c>
      <c r="AB133" s="343">
        <v>0</v>
      </c>
      <c r="AC133" s="343">
        <v>0</v>
      </c>
      <c r="AD133" s="343">
        <v>0</v>
      </c>
      <c r="AE133" s="343">
        <v>0</v>
      </c>
      <c r="AF133" s="343">
        <v>-9305</v>
      </c>
      <c r="AG133" s="343">
        <v>-434</v>
      </c>
      <c r="AH133" s="343">
        <v>0</v>
      </c>
      <c r="AI133" s="343">
        <v>0</v>
      </c>
      <c r="AJ133" s="343">
        <v>0</v>
      </c>
      <c r="AK133" s="343">
        <v>0</v>
      </c>
      <c r="AL133" s="343">
        <v>0</v>
      </c>
      <c r="AM133" s="343">
        <v>0</v>
      </c>
      <c r="AN133" s="343">
        <v>0</v>
      </c>
      <c r="AO133" s="343">
        <v>2896</v>
      </c>
      <c r="AP133" s="343">
        <v>0</v>
      </c>
      <c r="AQ133" s="343">
        <v>0</v>
      </c>
      <c r="AR133" s="343">
        <v>78779</v>
      </c>
      <c r="AS133" s="178"/>
      <c r="AT133" s="303">
        <f t="shared" si="19"/>
        <v>76858</v>
      </c>
    </row>
    <row r="134" spans="1:46" ht="11.25" customHeight="1" collapsed="1">
      <c r="A134" s="176" t="s">
        <v>133</v>
      </c>
      <c r="B134" s="176"/>
      <c r="C134" s="344">
        <f aca="true" t="shared" si="20" ref="C134:AR134">SUM(C125:C133)</f>
        <v>1818336</v>
      </c>
      <c r="D134" s="344">
        <f t="shared" si="20"/>
        <v>701683</v>
      </c>
      <c r="E134" s="344">
        <f t="shared" si="20"/>
        <v>157037</v>
      </c>
      <c r="F134" s="344">
        <f t="shared" si="20"/>
        <v>1116602</v>
      </c>
      <c r="G134" s="344">
        <f t="shared" si="20"/>
        <v>221197</v>
      </c>
      <c r="H134" s="344">
        <f t="shared" si="20"/>
        <v>374716</v>
      </c>
      <c r="I134" s="344">
        <f t="shared" si="20"/>
        <v>3897</v>
      </c>
      <c r="J134" s="344">
        <f t="shared" si="20"/>
        <v>24580</v>
      </c>
      <c r="K134" s="344">
        <f t="shared" si="20"/>
        <v>65799</v>
      </c>
      <c r="L134" s="344">
        <f t="shared" si="20"/>
        <v>27789</v>
      </c>
      <c r="M134" s="344">
        <f t="shared" si="20"/>
        <v>1499</v>
      </c>
      <c r="N134" s="344">
        <f t="shared" si="20"/>
        <v>110451</v>
      </c>
      <c r="O134" s="344">
        <f t="shared" si="20"/>
        <v>748154</v>
      </c>
      <c r="P134" s="344">
        <f t="shared" si="20"/>
        <v>7507026</v>
      </c>
      <c r="Q134" s="344">
        <f t="shared" si="20"/>
        <v>15911735</v>
      </c>
      <c r="R134" s="344">
        <f t="shared" si="20"/>
        <v>1796809</v>
      </c>
      <c r="S134" s="344">
        <f t="shared" si="20"/>
        <v>2605495</v>
      </c>
      <c r="T134" s="344">
        <f>SUM(T125:T133)</f>
        <v>1210385</v>
      </c>
      <c r="U134" s="344">
        <f>SUM(U125:U133)</f>
        <v>1629528</v>
      </c>
      <c r="V134" s="344">
        <f t="shared" si="20"/>
        <v>5395</v>
      </c>
      <c r="W134" s="344">
        <f t="shared" si="20"/>
        <v>243766</v>
      </c>
      <c r="X134" s="344">
        <f t="shared" si="20"/>
        <v>92687</v>
      </c>
      <c r="Y134" s="344">
        <f t="shared" si="20"/>
        <v>86149</v>
      </c>
      <c r="Z134" s="344">
        <f t="shared" si="20"/>
        <v>939052</v>
      </c>
      <c r="AA134" s="344">
        <f t="shared" si="20"/>
        <v>37438991</v>
      </c>
      <c r="AB134" s="344">
        <f t="shared" si="20"/>
        <v>2844141</v>
      </c>
      <c r="AC134" s="344">
        <f t="shared" si="20"/>
        <v>8737200</v>
      </c>
      <c r="AD134" s="344">
        <f t="shared" si="20"/>
        <v>58362</v>
      </c>
      <c r="AE134" s="344">
        <f t="shared" si="20"/>
        <v>23387</v>
      </c>
      <c r="AF134" s="344">
        <f t="shared" si="20"/>
        <v>417397</v>
      </c>
      <c r="AG134" s="344">
        <f t="shared" si="20"/>
        <v>58268</v>
      </c>
      <c r="AH134" s="344">
        <f>SUM(AH125:AH133)</f>
        <v>13501996</v>
      </c>
      <c r="AI134" s="344">
        <f>SUM(AI125:AI133)</f>
        <v>6226540</v>
      </c>
      <c r="AJ134" s="344">
        <f>SUM(AJ125:AJ133)</f>
        <v>3779976</v>
      </c>
      <c r="AK134" s="344">
        <f>SUM(AK125:AK133)</f>
        <v>3457636</v>
      </c>
      <c r="AL134" s="344">
        <f t="shared" si="20"/>
        <v>273963</v>
      </c>
      <c r="AM134" s="344">
        <f t="shared" si="20"/>
        <v>116833</v>
      </c>
      <c r="AN134" s="344">
        <f t="shared" si="20"/>
        <v>14282</v>
      </c>
      <c r="AO134" s="344">
        <f>SUM(AO125:AO133)</f>
        <v>78078</v>
      </c>
      <c r="AP134" s="344">
        <f t="shared" si="20"/>
        <v>22832</v>
      </c>
      <c r="AQ134" s="344">
        <f t="shared" si="20"/>
        <v>77138</v>
      </c>
      <c r="AR134" s="344">
        <f t="shared" si="20"/>
        <v>2310712</v>
      </c>
      <c r="AS134" s="178"/>
      <c r="AT134" s="303">
        <f>SUM(AT125:AT133)</f>
        <v>116837499</v>
      </c>
    </row>
    <row r="135" spans="1:46" ht="11.25" customHeight="1">
      <c r="A135" s="174"/>
      <c r="B135" s="174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  <c r="N135" s="345"/>
      <c r="O135" s="345"/>
      <c r="P135" s="345"/>
      <c r="Q135" s="345"/>
      <c r="R135" s="345"/>
      <c r="S135" s="345"/>
      <c r="T135" s="345"/>
      <c r="U135" s="345"/>
      <c r="V135" s="345"/>
      <c r="W135" s="345"/>
      <c r="X135" s="345"/>
      <c r="Y135" s="345"/>
      <c r="Z135" s="345"/>
      <c r="AA135" s="345"/>
      <c r="AB135" s="345"/>
      <c r="AC135" s="345"/>
      <c r="AD135" s="345"/>
      <c r="AE135" s="345"/>
      <c r="AF135" s="345"/>
      <c r="AG135" s="345"/>
      <c r="AH135" s="345"/>
      <c r="AI135" s="345"/>
      <c r="AJ135" s="345"/>
      <c r="AK135" s="345"/>
      <c r="AL135" s="345"/>
      <c r="AM135" s="345"/>
      <c r="AN135" s="345"/>
      <c r="AO135" s="345"/>
      <c r="AP135" s="345"/>
      <c r="AQ135" s="345"/>
      <c r="AR135" s="345"/>
      <c r="AS135" s="178"/>
      <c r="AT135" s="303"/>
    </row>
    <row r="136" spans="1:46" ht="11.25" customHeight="1" hidden="1" outlineLevel="1">
      <c r="A136" s="176" t="s">
        <v>134</v>
      </c>
      <c r="B136" s="176"/>
      <c r="C136" s="346"/>
      <c r="D136" s="346"/>
      <c r="E136" s="346"/>
      <c r="F136" s="346"/>
      <c r="G136" s="346"/>
      <c r="H136" s="346"/>
      <c r="I136" s="346"/>
      <c r="J136" s="346"/>
      <c r="K136" s="346"/>
      <c r="L136" s="346"/>
      <c r="M136" s="346"/>
      <c r="N136" s="346"/>
      <c r="O136" s="346"/>
      <c r="P136" s="346"/>
      <c r="Q136" s="346"/>
      <c r="R136" s="346"/>
      <c r="S136" s="346"/>
      <c r="T136" s="346"/>
      <c r="U136" s="346"/>
      <c r="V136" s="346"/>
      <c r="W136" s="346"/>
      <c r="X136" s="346"/>
      <c r="Y136" s="346"/>
      <c r="Z136" s="346"/>
      <c r="AA136" s="346"/>
      <c r="AB136" s="346"/>
      <c r="AC136" s="346"/>
      <c r="AD136" s="346"/>
      <c r="AE136" s="346"/>
      <c r="AF136" s="346"/>
      <c r="AG136" s="346"/>
      <c r="AH136" s="346"/>
      <c r="AI136" s="346"/>
      <c r="AJ136" s="346"/>
      <c r="AK136" s="346"/>
      <c r="AL136" s="346"/>
      <c r="AM136" s="346"/>
      <c r="AN136" s="346"/>
      <c r="AO136" s="346"/>
      <c r="AP136" s="346"/>
      <c r="AQ136" s="346"/>
      <c r="AR136" s="346"/>
      <c r="AS136" s="178"/>
      <c r="AT136" s="303"/>
    </row>
    <row r="137" spans="1:46" ht="11.25" customHeight="1" hidden="1" outlineLevel="1">
      <c r="A137" s="174" t="s">
        <v>47</v>
      </c>
      <c r="B137" s="174"/>
      <c r="C137" s="347">
        <v>55128</v>
      </c>
      <c r="D137" s="347">
        <v>46547</v>
      </c>
      <c r="E137" s="347">
        <v>57754</v>
      </c>
      <c r="F137" s="347">
        <v>124423</v>
      </c>
      <c r="G137" s="347">
        <v>12466</v>
      </c>
      <c r="H137" s="347">
        <v>39830</v>
      </c>
      <c r="I137" s="347">
        <v>3730</v>
      </c>
      <c r="J137" s="347">
        <v>685</v>
      </c>
      <c r="K137" s="347">
        <v>0</v>
      </c>
      <c r="L137" s="347">
        <v>5589</v>
      </c>
      <c r="M137" s="347">
        <v>2976</v>
      </c>
      <c r="N137" s="347">
        <v>11229</v>
      </c>
      <c r="O137" s="347">
        <v>82470</v>
      </c>
      <c r="P137" s="347">
        <v>19174</v>
      </c>
      <c r="Q137" s="347">
        <v>284422</v>
      </c>
      <c r="R137" s="347">
        <v>66168</v>
      </c>
      <c r="S137" s="347">
        <v>204693</v>
      </c>
      <c r="T137" s="347">
        <v>37746</v>
      </c>
      <c r="U137" s="347">
        <v>11840</v>
      </c>
      <c r="V137" s="347">
        <v>1449</v>
      </c>
      <c r="W137" s="347">
        <v>12529</v>
      </c>
      <c r="X137" s="347">
        <v>2341</v>
      </c>
      <c r="Y137" s="347">
        <v>2043</v>
      </c>
      <c r="Z137" s="347">
        <v>129980</v>
      </c>
      <c r="AA137" s="347">
        <v>422861</v>
      </c>
      <c r="AB137" s="347">
        <v>131556</v>
      </c>
      <c r="AC137" s="347">
        <v>370098</v>
      </c>
      <c r="AD137" s="347">
        <v>3376</v>
      </c>
      <c r="AE137" s="347">
        <v>1070</v>
      </c>
      <c r="AF137" s="347">
        <v>9329</v>
      </c>
      <c r="AG137" s="347">
        <v>0</v>
      </c>
      <c r="AH137" s="347">
        <v>8110</v>
      </c>
      <c r="AI137" s="347">
        <v>22107</v>
      </c>
      <c r="AJ137" s="347">
        <v>115705</v>
      </c>
      <c r="AK137" s="347">
        <v>218527</v>
      </c>
      <c r="AL137" s="347">
        <v>8232</v>
      </c>
      <c r="AM137" s="347">
        <v>3617</v>
      </c>
      <c r="AN137" s="347">
        <v>9773</v>
      </c>
      <c r="AO137" s="347">
        <v>12993</v>
      </c>
      <c r="AP137" s="347">
        <v>3305</v>
      </c>
      <c r="AQ137" s="347">
        <v>0</v>
      </c>
      <c r="AR137" s="347">
        <v>58088</v>
      </c>
      <c r="AS137" s="178"/>
      <c r="AT137" s="303">
        <f>SUM(C137:AR137)</f>
        <v>2613959</v>
      </c>
    </row>
    <row r="138" spans="1:46" ht="11.25" customHeight="1" hidden="1" outlineLevel="1">
      <c r="A138" s="174" t="s">
        <v>135</v>
      </c>
      <c r="B138" s="174"/>
      <c r="C138" s="347">
        <v>1393</v>
      </c>
      <c r="D138" s="347">
        <v>470</v>
      </c>
      <c r="E138" s="347">
        <v>257</v>
      </c>
      <c r="F138" s="347">
        <v>1815</v>
      </c>
      <c r="G138" s="347">
        <v>43</v>
      </c>
      <c r="H138" s="347">
        <v>105</v>
      </c>
      <c r="I138" s="347">
        <v>0</v>
      </c>
      <c r="J138" s="347">
        <v>74</v>
      </c>
      <c r="K138" s="347">
        <v>199</v>
      </c>
      <c r="L138" s="347">
        <v>84</v>
      </c>
      <c r="M138" s="347">
        <v>4</v>
      </c>
      <c r="N138" s="347">
        <v>335</v>
      </c>
      <c r="O138" s="347">
        <v>2251</v>
      </c>
      <c r="P138" s="347">
        <v>8907</v>
      </c>
      <c r="Q138" s="347">
        <v>27177</v>
      </c>
      <c r="R138" s="347">
        <v>2341</v>
      </c>
      <c r="S138" s="347">
        <v>1380</v>
      </c>
      <c r="T138" s="347">
        <v>991</v>
      </c>
      <c r="U138" s="347">
        <v>2988</v>
      </c>
      <c r="V138" s="347">
        <v>14</v>
      </c>
      <c r="W138" s="347">
        <v>2005</v>
      </c>
      <c r="X138" s="347">
        <v>486</v>
      </c>
      <c r="Y138" s="347">
        <v>369</v>
      </c>
      <c r="Z138" s="347">
        <v>5228</v>
      </c>
      <c r="AA138" s="347">
        <v>142162</v>
      </c>
      <c r="AB138" s="347">
        <v>8330</v>
      </c>
      <c r="AC138" s="347">
        <v>14108</v>
      </c>
      <c r="AD138" s="347">
        <v>0</v>
      </c>
      <c r="AE138" s="347">
        <v>0</v>
      </c>
      <c r="AF138" s="347">
        <v>1589</v>
      </c>
      <c r="AG138" s="347">
        <v>62</v>
      </c>
      <c r="AH138" s="347">
        <v>1633</v>
      </c>
      <c r="AI138" s="347">
        <v>410</v>
      </c>
      <c r="AJ138" s="347">
        <v>-194</v>
      </c>
      <c r="AK138" s="347">
        <v>95</v>
      </c>
      <c r="AL138" s="347">
        <v>0</v>
      </c>
      <c r="AM138" s="347">
        <v>0</v>
      </c>
      <c r="AN138" s="347">
        <v>0</v>
      </c>
      <c r="AO138" s="347">
        <v>134</v>
      </c>
      <c r="AP138" s="347">
        <v>131</v>
      </c>
      <c r="AQ138" s="347">
        <v>427</v>
      </c>
      <c r="AR138" s="347">
        <v>756</v>
      </c>
      <c r="AS138" s="178"/>
      <c r="AT138" s="303">
        <f>SUM(C138:AR138)</f>
        <v>228559</v>
      </c>
    </row>
    <row r="139" spans="1:46" ht="11.25" customHeight="1" hidden="1" outlineLevel="1">
      <c r="A139" s="174" t="s">
        <v>136</v>
      </c>
      <c r="B139" s="174"/>
      <c r="C139" s="347">
        <v>2269</v>
      </c>
      <c r="D139" s="347">
        <v>948</v>
      </c>
      <c r="E139" s="347">
        <v>283</v>
      </c>
      <c r="F139" s="347">
        <v>1668</v>
      </c>
      <c r="G139" s="347">
        <v>43</v>
      </c>
      <c r="H139" s="347">
        <v>105</v>
      </c>
      <c r="I139" s="347">
        <v>0</v>
      </c>
      <c r="J139" s="347">
        <v>75</v>
      </c>
      <c r="K139" s="347">
        <v>199</v>
      </c>
      <c r="L139" s="347">
        <v>84</v>
      </c>
      <c r="M139" s="347">
        <v>4</v>
      </c>
      <c r="N139" s="347">
        <v>335</v>
      </c>
      <c r="O139" s="347">
        <v>2255</v>
      </c>
      <c r="P139" s="347">
        <v>19029</v>
      </c>
      <c r="Q139" s="347">
        <v>11184</v>
      </c>
      <c r="R139" s="347">
        <v>1350</v>
      </c>
      <c r="S139" s="347">
        <v>1799</v>
      </c>
      <c r="T139" s="347">
        <v>2044</v>
      </c>
      <c r="U139" s="347">
        <v>6162</v>
      </c>
      <c r="V139" s="347">
        <v>17</v>
      </c>
      <c r="W139" s="347">
        <v>2460</v>
      </c>
      <c r="X139" s="347">
        <v>596</v>
      </c>
      <c r="Y139" s="347">
        <v>452</v>
      </c>
      <c r="Z139" s="347">
        <v>12088</v>
      </c>
      <c r="AA139" s="347">
        <v>60616</v>
      </c>
      <c r="AB139" s="347">
        <v>3767</v>
      </c>
      <c r="AC139" s="347">
        <v>6326</v>
      </c>
      <c r="AD139" s="347">
        <v>0</v>
      </c>
      <c r="AE139" s="347">
        <v>136</v>
      </c>
      <c r="AF139" s="347">
        <v>1588</v>
      </c>
      <c r="AG139" s="347">
        <v>62</v>
      </c>
      <c r="AH139" s="347">
        <v>15763</v>
      </c>
      <c r="AI139" s="347">
        <v>25243</v>
      </c>
      <c r="AJ139" s="347">
        <v>10431</v>
      </c>
      <c r="AK139" s="347">
        <v>12241</v>
      </c>
      <c r="AL139" s="347">
        <v>0</v>
      </c>
      <c r="AM139" s="347">
        <v>0</v>
      </c>
      <c r="AN139" s="347">
        <v>0</v>
      </c>
      <c r="AO139" s="347">
        <v>610</v>
      </c>
      <c r="AP139" s="347">
        <v>44</v>
      </c>
      <c r="AQ139" s="347">
        <v>142</v>
      </c>
      <c r="AR139" s="347">
        <v>4463</v>
      </c>
      <c r="AS139" s="178"/>
      <c r="AT139" s="303">
        <f>SUM(C139:AR139)</f>
        <v>206881</v>
      </c>
    </row>
    <row r="140" spans="1:46" ht="11.25" customHeight="1" hidden="1" outlineLevel="1">
      <c r="A140" s="174" t="s">
        <v>137</v>
      </c>
      <c r="B140" s="174"/>
      <c r="C140" s="347">
        <v>0</v>
      </c>
      <c r="D140" s="347">
        <v>0</v>
      </c>
      <c r="E140" s="347">
        <v>0</v>
      </c>
      <c r="F140" s="347">
        <v>0</v>
      </c>
      <c r="G140" s="347">
        <v>0</v>
      </c>
      <c r="H140" s="347">
        <v>0</v>
      </c>
      <c r="I140" s="347">
        <v>167</v>
      </c>
      <c r="J140" s="347">
        <v>0</v>
      </c>
      <c r="K140" s="347">
        <v>0</v>
      </c>
      <c r="L140" s="347">
        <v>0</v>
      </c>
      <c r="M140" s="347">
        <v>0</v>
      </c>
      <c r="N140" s="347">
        <v>0</v>
      </c>
      <c r="O140" s="347">
        <v>0</v>
      </c>
      <c r="P140" s="347">
        <v>0</v>
      </c>
      <c r="Q140" s="347">
        <v>0</v>
      </c>
      <c r="R140" s="347">
        <v>0</v>
      </c>
      <c r="S140" s="347">
        <v>0</v>
      </c>
      <c r="T140" s="347">
        <v>0</v>
      </c>
      <c r="U140" s="347">
        <v>0</v>
      </c>
      <c r="V140" s="347">
        <v>0</v>
      </c>
      <c r="W140" s="347">
        <v>0</v>
      </c>
      <c r="X140" s="347">
        <v>0</v>
      </c>
      <c r="Y140" s="347">
        <v>0</v>
      </c>
      <c r="Z140" s="347">
        <v>0</v>
      </c>
      <c r="AA140" s="347">
        <v>19093</v>
      </c>
      <c r="AB140" s="347">
        <v>2874</v>
      </c>
      <c r="AC140" s="347">
        <v>-11000</v>
      </c>
      <c r="AD140" s="347">
        <v>0</v>
      </c>
      <c r="AE140" s="347">
        <v>0</v>
      </c>
      <c r="AF140" s="347">
        <v>0</v>
      </c>
      <c r="AG140" s="347">
        <v>0</v>
      </c>
      <c r="AH140" s="347">
        <v>0</v>
      </c>
      <c r="AI140" s="347">
        <v>0</v>
      </c>
      <c r="AJ140" s="347">
        <v>0</v>
      </c>
      <c r="AK140" s="347">
        <v>0</v>
      </c>
      <c r="AL140" s="347">
        <v>0</v>
      </c>
      <c r="AM140" s="347">
        <v>0</v>
      </c>
      <c r="AN140" s="347">
        <v>0</v>
      </c>
      <c r="AO140" s="347">
        <v>0</v>
      </c>
      <c r="AP140" s="347">
        <v>0</v>
      </c>
      <c r="AQ140" s="347">
        <v>0</v>
      </c>
      <c r="AR140" s="347">
        <v>0</v>
      </c>
      <c r="AS140" s="178"/>
      <c r="AT140" s="303">
        <f>SUM(C140:AR140)</f>
        <v>11134</v>
      </c>
    </row>
    <row r="141" spans="1:46" ht="11.25" customHeight="1" hidden="1" outlineLevel="1">
      <c r="A141" s="174" t="s">
        <v>138</v>
      </c>
      <c r="B141" s="174"/>
      <c r="C141" s="347">
        <v>0</v>
      </c>
      <c r="D141" s="347">
        <v>0</v>
      </c>
      <c r="E141" s="347">
        <v>0</v>
      </c>
      <c r="F141" s="347">
        <v>0</v>
      </c>
      <c r="G141" s="347">
        <v>6025</v>
      </c>
      <c r="H141" s="347">
        <v>0</v>
      </c>
      <c r="I141" s="347">
        <v>0</v>
      </c>
      <c r="J141" s="347">
        <v>0</v>
      </c>
      <c r="K141" s="347">
        <v>0</v>
      </c>
      <c r="L141" s="347">
        <v>0</v>
      </c>
      <c r="M141" s="347">
        <v>0</v>
      </c>
      <c r="N141" s="347">
        <v>0</v>
      </c>
      <c r="O141" s="347">
        <v>0</v>
      </c>
      <c r="P141" s="347">
        <v>24</v>
      </c>
      <c r="Q141" s="347">
        <v>21</v>
      </c>
      <c r="R141" s="347">
        <v>6</v>
      </c>
      <c r="S141" s="347">
        <v>3688</v>
      </c>
      <c r="T141" s="347">
        <v>0</v>
      </c>
      <c r="U141" s="347">
        <v>0</v>
      </c>
      <c r="V141" s="347">
        <v>0</v>
      </c>
      <c r="W141" s="347">
        <v>15806</v>
      </c>
      <c r="X141" s="347">
        <v>978</v>
      </c>
      <c r="Y141" s="347">
        <v>912</v>
      </c>
      <c r="Z141" s="347">
        <v>0</v>
      </c>
      <c r="AA141" s="347">
        <v>0</v>
      </c>
      <c r="AB141" s="347">
        <v>0</v>
      </c>
      <c r="AC141" s="347">
        <v>0</v>
      </c>
      <c r="AD141" s="347">
        <v>0</v>
      </c>
      <c r="AE141" s="347">
        <v>0</v>
      </c>
      <c r="AF141" s="347">
        <v>0</v>
      </c>
      <c r="AG141" s="347">
        <v>0</v>
      </c>
      <c r="AH141" s="347">
        <v>0</v>
      </c>
      <c r="AI141" s="347">
        <v>0</v>
      </c>
      <c r="AJ141" s="347">
        <v>0</v>
      </c>
      <c r="AK141" s="347">
        <v>0</v>
      </c>
      <c r="AL141" s="347">
        <v>0</v>
      </c>
      <c r="AM141" s="347">
        <v>0</v>
      </c>
      <c r="AN141" s="347">
        <v>0</v>
      </c>
      <c r="AO141" s="347">
        <v>0</v>
      </c>
      <c r="AP141" s="347">
        <v>0</v>
      </c>
      <c r="AQ141" s="347">
        <v>0</v>
      </c>
      <c r="AR141" s="347">
        <v>0</v>
      </c>
      <c r="AS141" s="178"/>
      <c r="AT141" s="303">
        <f>SUM(C141:AR141)</f>
        <v>27460</v>
      </c>
    </row>
    <row r="142" spans="1:46" ht="11.25" customHeight="1" collapsed="1">
      <c r="A142" s="176" t="s">
        <v>139</v>
      </c>
      <c r="B142" s="176"/>
      <c r="C142" s="346">
        <f aca="true" t="shared" si="21" ref="C142:AR142">SUM(C137:C141)</f>
        <v>58790</v>
      </c>
      <c r="D142" s="346">
        <f t="shared" si="21"/>
        <v>47965</v>
      </c>
      <c r="E142" s="346">
        <f t="shared" si="21"/>
        <v>58294</v>
      </c>
      <c r="F142" s="346">
        <f t="shared" si="21"/>
        <v>127906</v>
      </c>
      <c r="G142" s="346">
        <f t="shared" si="21"/>
        <v>18577</v>
      </c>
      <c r="H142" s="346">
        <f t="shared" si="21"/>
        <v>40040</v>
      </c>
      <c r="I142" s="346">
        <f t="shared" si="21"/>
        <v>3897</v>
      </c>
      <c r="J142" s="346">
        <f t="shared" si="21"/>
        <v>834</v>
      </c>
      <c r="K142" s="346">
        <f t="shared" si="21"/>
        <v>398</v>
      </c>
      <c r="L142" s="346">
        <f t="shared" si="21"/>
        <v>5757</v>
      </c>
      <c r="M142" s="346">
        <f t="shared" si="21"/>
        <v>2984</v>
      </c>
      <c r="N142" s="346">
        <f t="shared" si="21"/>
        <v>11899</v>
      </c>
      <c r="O142" s="346">
        <f t="shared" si="21"/>
        <v>86976</v>
      </c>
      <c r="P142" s="346">
        <f t="shared" si="21"/>
        <v>47134</v>
      </c>
      <c r="Q142" s="346">
        <f t="shared" si="21"/>
        <v>322804</v>
      </c>
      <c r="R142" s="346">
        <f t="shared" si="21"/>
        <v>69865</v>
      </c>
      <c r="S142" s="346">
        <f t="shared" si="21"/>
        <v>211560</v>
      </c>
      <c r="T142" s="346">
        <f>SUM(T137:T141)</f>
        <v>40781</v>
      </c>
      <c r="U142" s="346">
        <f>SUM(U137:U141)</f>
        <v>20990</v>
      </c>
      <c r="V142" s="346">
        <f t="shared" si="21"/>
        <v>1480</v>
      </c>
      <c r="W142" s="346">
        <f t="shared" si="21"/>
        <v>32800</v>
      </c>
      <c r="X142" s="346">
        <f t="shared" si="21"/>
        <v>4401</v>
      </c>
      <c r="Y142" s="346">
        <f t="shared" si="21"/>
        <v>3776</v>
      </c>
      <c r="Z142" s="346">
        <f t="shared" si="21"/>
        <v>147296</v>
      </c>
      <c r="AA142" s="346">
        <f t="shared" si="21"/>
        <v>644732</v>
      </c>
      <c r="AB142" s="346">
        <f t="shared" si="21"/>
        <v>146527</v>
      </c>
      <c r="AC142" s="346">
        <f t="shared" si="21"/>
        <v>379532</v>
      </c>
      <c r="AD142" s="346">
        <f t="shared" si="21"/>
        <v>3376</v>
      </c>
      <c r="AE142" s="346">
        <f t="shared" si="21"/>
        <v>1206</v>
      </c>
      <c r="AF142" s="346">
        <f t="shared" si="21"/>
        <v>12506</v>
      </c>
      <c r="AG142" s="346">
        <f t="shared" si="21"/>
        <v>124</v>
      </c>
      <c r="AH142" s="346">
        <f>SUM(AH137:AH141)</f>
        <v>25506</v>
      </c>
      <c r="AI142" s="346">
        <f>SUM(AI137:AI141)</f>
        <v>47760</v>
      </c>
      <c r="AJ142" s="346">
        <f>SUM(AJ137:AJ141)</f>
        <v>125942</v>
      </c>
      <c r="AK142" s="346">
        <f>SUM(AK137:AK141)</f>
        <v>230863</v>
      </c>
      <c r="AL142" s="346">
        <f t="shared" si="21"/>
        <v>8232</v>
      </c>
      <c r="AM142" s="346">
        <f t="shared" si="21"/>
        <v>3617</v>
      </c>
      <c r="AN142" s="346">
        <f t="shared" si="21"/>
        <v>9773</v>
      </c>
      <c r="AO142" s="346">
        <f>SUM(AO137:AO141)</f>
        <v>13737</v>
      </c>
      <c r="AP142" s="346">
        <f t="shared" si="21"/>
        <v>3480</v>
      </c>
      <c r="AQ142" s="346">
        <f t="shared" si="21"/>
        <v>569</v>
      </c>
      <c r="AR142" s="346">
        <f t="shared" si="21"/>
        <v>63307</v>
      </c>
      <c r="AS142" s="178"/>
      <c r="AT142" s="303">
        <f>SUM(AT137:AT141)</f>
        <v>3087993</v>
      </c>
    </row>
    <row r="143" spans="1:46" ht="11.25" customHeight="1">
      <c r="A143" s="164"/>
      <c r="B143" s="164"/>
      <c r="C143" s="348"/>
      <c r="D143" s="348"/>
      <c r="E143" s="348"/>
      <c r="F143" s="348"/>
      <c r="G143" s="348"/>
      <c r="H143" s="348"/>
      <c r="I143" s="348"/>
      <c r="J143" s="348"/>
      <c r="K143" s="348"/>
      <c r="L143" s="348"/>
      <c r="M143" s="348"/>
      <c r="N143" s="348"/>
      <c r="O143" s="348"/>
      <c r="P143" s="348"/>
      <c r="Q143" s="348"/>
      <c r="R143" s="348"/>
      <c r="S143" s="348"/>
      <c r="T143" s="348"/>
      <c r="U143" s="348"/>
      <c r="V143" s="348"/>
      <c r="W143" s="348"/>
      <c r="X143" s="348"/>
      <c r="Y143" s="348"/>
      <c r="Z143" s="348"/>
      <c r="AA143" s="348"/>
      <c r="AB143" s="348"/>
      <c r="AC143" s="348"/>
      <c r="AD143" s="348"/>
      <c r="AE143" s="348"/>
      <c r="AF143" s="348"/>
      <c r="AG143" s="348"/>
      <c r="AH143" s="348"/>
      <c r="AI143" s="348"/>
      <c r="AJ143" s="348"/>
      <c r="AK143" s="348"/>
      <c r="AL143" s="348"/>
      <c r="AM143" s="348"/>
      <c r="AN143" s="348"/>
      <c r="AO143" s="348"/>
      <c r="AP143" s="348"/>
      <c r="AQ143" s="348"/>
      <c r="AR143" s="348"/>
      <c r="AS143" s="178"/>
      <c r="AT143" s="303"/>
    </row>
    <row r="144" spans="1:46" ht="11.25" customHeight="1">
      <c r="A144" s="176" t="s">
        <v>140</v>
      </c>
      <c r="B144" s="176"/>
      <c r="C144" s="346"/>
      <c r="D144" s="346"/>
      <c r="E144" s="346"/>
      <c r="F144" s="346"/>
      <c r="G144" s="346"/>
      <c r="H144" s="346"/>
      <c r="I144" s="346"/>
      <c r="J144" s="346"/>
      <c r="K144" s="346"/>
      <c r="L144" s="346"/>
      <c r="M144" s="346"/>
      <c r="N144" s="346"/>
      <c r="O144" s="346"/>
      <c r="P144" s="346"/>
      <c r="Q144" s="346"/>
      <c r="R144" s="346"/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  <c r="AD144" s="346"/>
      <c r="AE144" s="346"/>
      <c r="AF144" s="346"/>
      <c r="AG144" s="346"/>
      <c r="AH144" s="346"/>
      <c r="AI144" s="346"/>
      <c r="AJ144" s="346"/>
      <c r="AK144" s="346"/>
      <c r="AL144" s="346"/>
      <c r="AM144" s="346"/>
      <c r="AN144" s="346"/>
      <c r="AO144" s="346"/>
      <c r="AP144" s="346"/>
      <c r="AQ144" s="346"/>
      <c r="AR144" s="346"/>
      <c r="AS144" s="178"/>
      <c r="AT144" s="303"/>
    </row>
    <row r="145" spans="1:46" ht="11.25" customHeight="1">
      <c r="A145" s="176" t="s">
        <v>141</v>
      </c>
      <c r="B145" s="176"/>
      <c r="C145" s="346">
        <f>+C134-C142</f>
        <v>1759546</v>
      </c>
      <c r="D145" s="346">
        <f aca="true" t="shared" si="22" ref="D145:AR145">+D134-D142</f>
        <v>653718</v>
      </c>
      <c r="E145" s="346">
        <f t="shared" si="22"/>
        <v>98743</v>
      </c>
      <c r="F145" s="346">
        <f t="shared" si="22"/>
        <v>988696</v>
      </c>
      <c r="G145" s="346">
        <f t="shared" si="22"/>
        <v>202620</v>
      </c>
      <c r="H145" s="346">
        <f t="shared" si="22"/>
        <v>334676</v>
      </c>
      <c r="I145" s="346">
        <f t="shared" si="22"/>
        <v>0</v>
      </c>
      <c r="J145" s="346">
        <f t="shared" si="22"/>
        <v>23746</v>
      </c>
      <c r="K145" s="346">
        <f t="shared" si="22"/>
        <v>65401</v>
      </c>
      <c r="L145" s="346">
        <f t="shared" si="22"/>
        <v>22032</v>
      </c>
      <c r="M145" s="346">
        <f t="shared" si="22"/>
        <v>-1485</v>
      </c>
      <c r="N145" s="346">
        <f t="shared" si="22"/>
        <v>98552</v>
      </c>
      <c r="O145" s="346">
        <f t="shared" si="22"/>
        <v>661178</v>
      </c>
      <c r="P145" s="346">
        <f t="shared" si="22"/>
        <v>7459892</v>
      </c>
      <c r="Q145" s="346">
        <f t="shared" si="22"/>
        <v>15588931</v>
      </c>
      <c r="R145" s="346">
        <f t="shared" si="22"/>
        <v>1726944</v>
      </c>
      <c r="S145" s="346">
        <f t="shared" si="22"/>
        <v>2393935</v>
      </c>
      <c r="T145" s="346">
        <f>+T134-T142</f>
        <v>1169604</v>
      </c>
      <c r="U145" s="346">
        <f>+U134-U142</f>
        <v>1608538</v>
      </c>
      <c r="V145" s="346">
        <f t="shared" si="22"/>
        <v>3915</v>
      </c>
      <c r="W145" s="346">
        <f t="shared" si="22"/>
        <v>210966</v>
      </c>
      <c r="X145" s="346">
        <f t="shared" si="22"/>
        <v>88286</v>
      </c>
      <c r="Y145" s="346">
        <f t="shared" si="22"/>
        <v>82373</v>
      </c>
      <c r="Z145" s="346">
        <f t="shared" si="22"/>
        <v>791756</v>
      </c>
      <c r="AA145" s="346">
        <f t="shared" si="22"/>
        <v>36794259</v>
      </c>
      <c r="AB145" s="346">
        <f t="shared" si="22"/>
        <v>2697614</v>
      </c>
      <c r="AC145" s="346">
        <f t="shared" si="22"/>
        <v>8357668</v>
      </c>
      <c r="AD145" s="346">
        <f t="shared" si="22"/>
        <v>54986</v>
      </c>
      <c r="AE145" s="346">
        <f t="shared" si="22"/>
        <v>22181</v>
      </c>
      <c r="AF145" s="346">
        <f t="shared" si="22"/>
        <v>404891</v>
      </c>
      <c r="AG145" s="346">
        <f t="shared" si="22"/>
        <v>58144</v>
      </c>
      <c r="AH145" s="346">
        <f>+AH134-AH142</f>
        <v>13476490</v>
      </c>
      <c r="AI145" s="346">
        <f>+AI134-AI142</f>
        <v>6178780</v>
      </c>
      <c r="AJ145" s="346">
        <f>+AJ134-AJ142</f>
        <v>3654034</v>
      </c>
      <c r="AK145" s="346">
        <f>+AK134-AK142</f>
        <v>3226773</v>
      </c>
      <c r="AL145" s="346">
        <f t="shared" si="22"/>
        <v>265731</v>
      </c>
      <c r="AM145" s="346">
        <f t="shared" si="22"/>
        <v>113216</v>
      </c>
      <c r="AN145" s="346">
        <f t="shared" si="22"/>
        <v>4509</v>
      </c>
      <c r="AO145" s="346">
        <f>+AO134-AO142</f>
        <v>64341</v>
      </c>
      <c r="AP145" s="346">
        <f t="shared" si="22"/>
        <v>19352</v>
      </c>
      <c r="AQ145" s="346">
        <f t="shared" si="22"/>
        <v>76569</v>
      </c>
      <c r="AR145" s="346">
        <f t="shared" si="22"/>
        <v>2247405</v>
      </c>
      <c r="AS145" s="346"/>
      <c r="AT145" s="346">
        <f>+AT134-AT142</f>
        <v>113749506</v>
      </c>
    </row>
    <row r="146" spans="1:46" ht="11.25" customHeight="1">
      <c r="A146" s="176"/>
      <c r="B146" s="176"/>
      <c r="C146" s="349"/>
      <c r="D146" s="349"/>
      <c r="E146" s="349"/>
      <c r="F146" s="349"/>
      <c r="G146" s="349"/>
      <c r="H146" s="349"/>
      <c r="I146" s="349"/>
      <c r="J146" s="349"/>
      <c r="K146" s="349"/>
      <c r="L146" s="349"/>
      <c r="M146" s="349"/>
      <c r="N146" s="349"/>
      <c r="O146" s="349"/>
      <c r="P146" s="349"/>
      <c r="Q146" s="349"/>
      <c r="R146" s="349"/>
      <c r="S146" s="349"/>
      <c r="T146" s="349"/>
      <c r="U146" s="349"/>
      <c r="V146" s="349"/>
      <c r="W146" s="349"/>
      <c r="X146" s="349"/>
      <c r="Y146" s="349"/>
      <c r="Z146" s="349"/>
      <c r="AA146" s="349"/>
      <c r="AB146" s="349"/>
      <c r="AC146" s="349"/>
      <c r="AD146" s="349"/>
      <c r="AE146" s="349"/>
      <c r="AF146" s="349"/>
      <c r="AG146" s="349"/>
      <c r="AH146" s="349"/>
      <c r="AI146" s="349"/>
      <c r="AJ146" s="349"/>
      <c r="AK146" s="349"/>
      <c r="AL146" s="349"/>
      <c r="AM146" s="349"/>
      <c r="AN146" s="349"/>
      <c r="AO146" s="349"/>
      <c r="AP146" s="349"/>
      <c r="AQ146" s="349"/>
      <c r="AR146" s="349"/>
      <c r="AS146" s="178"/>
      <c r="AT146" s="303"/>
    </row>
    <row r="147" spans="1:46" ht="11.25" customHeight="1" hidden="1" outlineLevel="1">
      <c r="A147" s="176" t="s">
        <v>142</v>
      </c>
      <c r="B147" s="176"/>
      <c r="C147" s="346"/>
      <c r="D147" s="346"/>
      <c r="E147" s="346"/>
      <c r="F147" s="346"/>
      <c r="G147" s="346"/>
      <c r="H147" s="346"/>
      <c r="I147" s="346"/>
      <c r="J147" s="346"/>
      <c r="K147" s="346"/>
      <c r="L147" s="346"/>
      <c r="M147" s="346"/>
      <c r="N147" s="346"/>
      <c r="O147" s="346"/>
      <c r="P147" s="346"/>
      <c r="Q147" s="346"/>
      <c r="R147" s="346"/>
      <c r="S147" s="346"/>
      <c r="T147" s="346"/>
      <c r="U147" s="346"/>
      <c r="V147" s="346"/>
      <c r="W147" s="346"/>
      <c r="X147" s="346"/>
      <c r="Y147" s="346"/>
      <c r="Z147" s="346"/>
      <c r="AA147" s="346"/>
      <c r="AB147" s="346"/>
      <c r="AC147" s="346"/>
      <c r="AD147" s="346"/>
      <c r="AE147" s="346"/>
      <c r="AF147" s="346"/>
      <c r="AG147" s="346"/>
      <c r="AH147" s="346"/>
      <c r="AI147" s="346"/>
      <c r="AJ147" s="346"/>
      <c r="AK147" s="346"/>
      <c r="AL147" s="346"/>
      <c r="AM147" s="346"/>
      <c r="AN147" s="346"/>
      <c r="AO147" s="346"/>
      <c r="AP147" s="346"/>
      <c r="AQ147" s="346"/>
      <c r="AR147" s="346"/>
      <c r="AS147" s="178"/>
      <c r="AT147" s="303"/>
    </row>
    <row r="148" spans="1:46" ht="11.25" customHeight="1" hidden="1" outlineLevel="1">
      <c r="A148" s="174" t="s">
        <v>143</v>
      </c>
      <c r="B148" s="174"/>
      <c r="C148" s="350">
        <v>1698334</v>
      </c>
      <c r="D148" s="350">
        <v>638248</v>
      </c>
      <c r="E148" s="350">
        <v>0</v>
      </c>
      <c r="F148" s="350">
        <v>505309</v>
      </c>
      <c r="G148" s="350">
        <v>83453</v>
      </c>
      <c r="H148" s="350">
        <v>87985</v>
      </c>
      <c r="I148" s="350">
        <v>0</v>
      </c>
      <c r="J148" s="350">
        <v>8818</v>
      </c>
      <c r="K148" s="350">
        <v>23606</v>
      </c>
      <c r="L148" s="350">
        <v>9969</v>
      </c>
      <c r="M148" s="350">
        <v>538</v>
      </c>
      <c r="N148" s="350">
        <v>39624</v>
      </c>
      <c r="O148" s="350">
        <v>0</v>
      </c>
      <c r="P148" s="350">
        <v>5424051</v>
      </c>
      <c r="Q148" s="350">
        <v>10011209</v>
      </c>
      <c r="R148" s="350">
        <v>1042459</v>
      </c>
      <c r="S148" s="350">
        <v>2256616</v>
      </c>
      <c r="T148" s="350">
        <v>547289</v>
      </c>
      <c r="U148" s="350">
        <v>1426226</v>
      </c>
      <c r="V148" s="350">
        <v>0</v>
      </c>
      <c r="W148" s="350">
        <v>0</v>
      </c>
      <c r="X148" s="350">
        <v>56226</v>
      </c>
      <c r="Y148" s="350">
        <v>56756</v>
      </c>
      <c r="Z148" s="350">
        <v>515141</v>
      </c>
      <c r="AA148" s="350">
        <v>26768530</v>
      </c>
      <c r="AB148" s="350">
        <v>1637299</v>
      </c>
      <c r="AC148" s="350">
        <v>1928811</v>
      </c>
      <c r="AD148" s="350">
        <v>54986</v>
      </c>
      <c r="AE148" s="350">
        <v>19918</v>
      </c>
      <c r="AF148" s="350">
        <v>404978</v>
      </c>
      <c r="AG148" s="350">
        <v>58149</v>
      </c>
      <c r="AH148" s="350">
        <v>13119720</v>
      </c>
      <c r="AI148" s="350">
        <v>5780462</v>
      </c>
      <c r="AJ148" s="350">
        <v>3197565</v>
      </c>
      <c r="AK148" s="350">
        <v>5295390</v>
      </c>
      <c r="AL148" s="350">
        <v>270224</v>
      </c>
      <c r="AM148" s="350">
        <v>111884</v>
      </c>
      <c r="AN148" s="350">
        <v>0</v>
      </c>
      <c r="AO148" s="350">
        <v>64203</v>
      </c>
      <c r="AP148" s="350">
        <v>10980</v>
      </c>
      <c r="AQ148" s="350">
        <v>47488</v>
      </c>
      <c r="AR148" s="350">
        <v>2127670</v>
      </c>
      <c r="AS148" s="178"/>
      <c r="AT148" s="303">
        <f aca="true" t="shared" si="23" ref="AT148:AT154">SUM(C148:AR148)</f>
        <v>85330114</v>
      </c>
    </row>
    <row r="149" spans="1:46" ht="11.25" customHeight="1" hidden="1" outlineLevel="1">
      <c r="A149" s="174" t="s">
        <v>144</v>
      </c>
      <c r="B149" s="174"/>
      <c r="C149" s="350">
        <v>37150</v>
      </c>
      <c r="D149" s="350">
        <v>19075</v>
      </c>
      <c r="E149" s="350">
        <v>0</v>
      </c>
      <c r="F149" s="350">
        <v>293133</v>
      </c>
      <c r="G149" s="350">
        <v>10037</v>
      </c>
      <c r="H149" s="350">
        <v>5019</v>
      </c>
      <c r="I149" s="350">
        <v>0</v>
      </c>
      <c r="J149" s="350">
        <v>7202</v>
      </c>
      <c r="K149" s="350">
        <v>19280</v>
      </c>
      <c r="L149" s="350">
        <v>8143</v>
      </c>
      <c r="M149" s="350">
        <v>439</v>
      </c>
      <c r="N149" s="350">
        <v>32364</v>
      </c>
      <c r="O149" s="350">
        <v>487624</v>
      </c>
      <c r="P149" s="350">
        <v>2057142</v>
      </c>
      <c r="Q149" s="350">
        <v>5551503</v>
      </c>
      <c r="R149" s="350">
        <v>666739</v>
      </c>
      <c r="S149" s="350">
        <v>56128</v>
      </c>
      <c r="T149" s="350">
        <v>622315</v>
      </c>
      <c r="U149" s="350">
        <v>182312</v>
      </c>
      <c r="V149" s="350">
        <v>0</v>
      </c>
      <c r="W149" s="350">
        <v>64197</v>
      </c>
      <c r="X149" s="350">
        <v>9004</v>
      </c>
      <c r="Y149" s="350">
        <v>0</v>
      </c>
      <c r="Z149" s="350">
        <v>155656</v>
      </c>
      <c r="AA149" s="350">
        <v>9659722</v>
      </c>
      <c r="AB149" s="350">
        <v>1067644</v>
      </c>
      <c r="AC149" s="350">
        <v>6771368</v>
      </c>
      <c r="AD149" s="350">
        <v>0</v>
      </c>
      <c r="AE149" s="350">
        <v>0</v>
      </c>
      <c r="AF149" s="350">
        <v>0</v>
      </c>
      <c r="AG149" s="350">
        <v>0</v>
      </c>
      <c r="AH149" s="350">
        <v>525628</v>
      </c>
      <c r="AI149" s="350">
        <v>326269</v>
      </c>
      <c r="AJ149" s="350">
        <v>430948</v>
      </c>
      <c r="AK149" s="350">
        <v>151145</v>
      </c>
      <c r="AL149" s="350">
        <v>0</v>
      </c>
      <c r="AM149" s="350">
        <v>0</v>
      </c>
      <c r="AN149" s="350">
        <v>0</v>
      </c>
      <c r="AO149" s="350">
        <v>4471</v>
      </c>
      <c r="AP149" s="350">
        <v>8373</v>
      </c>
      <c r="AQ149" s="350">
        <v>29080</v>
      </c>
      <c r="AR149" s="350">
        <v>108410</v>
      </c>
      <c r="AS149" s="178"/>
      <c r="AT149" s="303">
        <f t="shared" si="23"/>
        <v>29367520</v>
      </c>
    </row>
    <row r="150" spans="1:46" ht="11.25" customHeight="1" hidden="1" outlineLevel="1">
      <c r="A150" s="174" t="s">
        <v>145</v>
      </c>
      <c r="B150" s="174"/>
      <c r="C150" s="350">
        <v>0</v>
      </c>
      <c r="D150" s="350">
        <v>0</v>
      </c>
      <c r="E150" s="350">
        <v>0</v>
      </c>
      <c r="F150" s="350">
        <v>82676</v>
      </c>
      <c r="G150" s="350">
        <v>0</v>
      </c>
      <c r="H150" s="350">
        <v>0</v>
      </c>
      <c r="I150" s="350">
        <v>0</v>
      </c>
      <c r="J150" s="350">
        <v>5785</v>
      </c>
      <c r="K150" s="350">
        <v>15486</v>
      </c>
      <c r="L150" s="350">
        <v>6540</v>
      </c>
      <c r="M150" s="350">
        <v>353</v>
      </c>
      <c r="N150" s="350">
        <v>25995</v>
      </c>
      <c r="O150" s="350">
        <v>176081</v>
      </c>
      <c r="P150" s="350">
        <v>0</v>
      </c>
      <c r="Q150" s="350">
        <v>0</v>
      </c>
      <c r="R150" s="350">
        <v>0</v>
      </c>
      <c r="S150" s="350">
        <v>0</v>
      </c>
      <c r="T150" s="350">
        <v>0</v>
      </c>
      <c r="U150" s="350">
        <v>0</v>
      </c>
      <c r="V150" s="350">
        <v>0</v>
      </c>
      <c r="W150" s="350">
        <v>83754</v>
      </c>
      <c r="X150" s="350">
        <v>11747</v>
      </c>
      <c r="Y150" s="350">
        <v>0</v>
      </c>
      <c r="Z150" s="350">
        <v>72529</v>
      </c>
      <c r="AA150" s="350">
        <v>162580</v>
      </c>
      <c r="AB150" s="350">
        <v>0</v>
      </c>
      <c r="AC150" s="350">
        <v>0</v>
      </c>
      <c r="AD150" s="350">
        <v>0</v>
      </c>
      <c r="AE150" s="350">
        <v>0</v>
      </c>
      <c r="AF150" s="350">
        <v>0</v>
      </c>
      <c r="AG150" s="350">
        <v>0</v>
      </c>
      <c r="AH150" s="350">
        <v>0</v>
      </c>
      <c r="AI150" s="350">
        <v>0</v>
      </c>
      <c r="AJ150" s="350">
        <v>0</v>
      </c>
      <c r="AK150" s="350">
        <v>0</v>
      </c>
      <c r="AL150" s="350">
        <v>0</v>
      </c>
      <c r="AM150" s="350">
        <v>0</v>
      </c>
      <c r="AN150" s="350">
        <v>0</v>
      </c>
      <c r="AO150" s="350">
        <v>0</v>
      </c>
      <c r="AP150" s="350">
        <v>0</v>
      </c>
      <c r="AQ150" s="350">
        <v>0</v>
      </c>
      <c r="AR150" s="350">
        <v>13000</v>
      </c>
      <c r="AS150" s="178"/>
      <c r="AT150" s="303">
        <f t="shared" si="23"/>
        <v>656526</v>
      </c>
    </row>
    <row r="151" spans="1:46" ht="11.25" customHeight="1" hidden="1" outlineLevel="1">
      <c r="A151" s="174" t="s">
        <v>146</v>
      </c>
      <c r="B151" s="174"/>
      <c r="C151" s="350">
        <v>0</v>
      </c>
      <c r="D151" s="350">
        <v>0</v>
      </c>
      <c r="E151" s="350">
        <v>0</v>
      </c>
      <c r="F151" s="350">
        <v>0</v>
      </c>
      <c r="G151" s="350">
        <v>0</v>
      </c>
      <c r="H151" s="350">
        <v>0</v>
      </c>
      <c r="I151" s="350">
        <v>0</v>
      </c>
      <c r="J151" s="350">
        <v>0</v>
      </c>
      <c r="K151" s="350">
        <v>0</v>
      </c>
      <c r="L151" s="350">
        <v>0</v>
      </c>
      <c r="M151" s="350">
        <v>0</v>
      </c>
      <c r="N151" s="350">
        <v>0</v>
      </c>
      <c r="O151" s="350">
        <v>0</v>
      </c>
      <c r="P151" s="350">
        <v>0</v>
      </c>
      <c r="Q151" s="350">
        <v>0</v>
      </c>
      <c r="R151" s="350">
        <v>0</v>
      </c>
      <c r="S151" s="350">
        <v>25241</v>
      </c>
      <c r="T151" s="350">
        <v>0</v>
      </c>
      <c r="U151" s="350">
        <v>0</v>
      </c>
      <c r="V151" s="350">
        <v>3915</v>
      </c>
      <c r="W151" s="350">
        <v>0</v>
      </c>
      <c r="X151" s="350">
        <v>0</v>
      </c>
      <c r="Y151" s="350">
        <v>0</v>
      </c>
      <c r="Z151" s="350">
        <v>1968</v>
      </c>
      <c r="AA151" s="350">
        <v>0</v>
      </c>
      <c r="AB151" s="350">
        <v>0</v>
      </c>
      <c r="AC151" s="350">
        <v>0</v>
      </c>
      <c r="AD151" s="350">
        <v>0</v>
      </c>
      <c r="AE151" s="350">
        <v>0</v>
      </c>
      <c r="AF151" s="350">
        <v>0</v>
      </c>
      <c r="AG151" s="350">
        <v>0</v>
      </c>
      <c r="AH151" s="350">
        <v>0</v>
      </c>
      <c r="AI151" s="350">
        <v>0</v>
      </c>
      <c r="AJ151" s="350">
        <v>0</v>
      </c>
      <c r="AK151" s="350">
        <v>-2202315</v>
      </c>
      <c r="AL151" s="350">
        <v>0</v>
      </c>
      <c r="AM151" s="350">
        <v>0</v>
      </c>
      <c r="AN151" s="350">
        <v>4508</v>
      </c>
      <c r="AO151" s="350">
        <v>0</v>
      </c>
      <c r="AP151" s="350">
        <v>0</v>
      </c>
      <c r="AQ151" s="350">
        <v>0</v>
      </c>
      <c r="AR151" s="350">
        <v>0</v>
      </c>
      <c r="AS151" s="178"/>
      <c r="AT151" s="303">
        <f t="shared" si="23"/>
        <v>-2166683</v>
      </c>
    </row>
    <row r="152" spans="1:46" ht="11.25" customHeight="1" hidden="1" outlineLevel="1">
      <c r="A152" s="174" t="s">
        <v>147</v>
      </c>
      <c r="B152" s="174"/>
      <c r="C152" s="350">
        <v>0</v>
      </c>
      <c r="D152" s="350">
        <v>0</v>
      </c>
      <c r="E152" s="350">
        <v>95039</v>
      </c>
      <c r="F152" s="350">
        <v>0</v>
      </c>
      <c r="G152" s="350">
        <v>0</v>
      </c>
      <c r="H152" s="350">
        <v>0</v>
      </c>
      <c r="I152" s="350">
        <v>0</v>
      </c>
      <c r="J152" s="350">
        <v>0</v>
      </c>
      <c r="K152" s="350">
        <v>0</v>
      </c>
      <c r="L152" s="350">
        <v>0</v>
      </c>
      <c r="M152" s="350">
        <v>0</v>
      </c>
      <c r="N152" s="350">
        <v>0</v>
      </c>
      <c r="O152" s="350">
        <v>0</v>
      </c>
      <c r="P152" s="350">
        <v>0</v>
      </c>
      <c r="Q152" s="350">
        <v>0</v>
      </c>
      <c r="R152" s="350">
        <v>0</v>
      </c>
      <c r="S152" s="350">
        <v>0</v>
      </c>
      <c r="T152" s="350">
        <v>0</v>
      </c>
      <c r="U152" s="350">
        <v>0</v>
      </c>
      <c r="V152" s="350">
        <v>0</v>
      </c>
      <c r="W152" s="350">
        <v>0</v>
      </c>
      <c r="X152" s="350">
        <v>0</v>
      </c>
      <c r="Y152" s="350">
        <v>0</v>
      </c>
      <c r="Z152" s="350">
        <v>11983</v>
      </c>
      <c r="AA152" s="350">
        <v>0</v>
      </c>
      <c r="AB152" s="350">
        <v>0</v>
      </c>
      <c r="AC152" s="350">
        <v>0</v>
      </c>
      <c r="AD152" s="350">
        <v>0</v>
      </c>
      <c r="AE152" s="350">
        <v>0</v>
      </c>
      <c r="AF152" s="350">
        <v>0</v>
      </c>
      <c r="AG152" s="350">
        <v>0</v>
      </c>
      <c r="AH152" s="350">
        <v>0</v>
      </c>
      <c r="AI152" s="350">
        <v>0</v>
      </c>
      <c r="AJ152" s="350">
        <v>0</v>
      </c>
      <c r="AK152" s="350">
        <v>0</v>
      </c>
      <c r="AL152" s="350">
        <v>0</v>
      </c>
      <c r="AM152" s="350">
        <v>0</v>
      </c>
      <c r="AN152" s="350">
        <v>0</v>
      </c>
      <c r="AO152" s="350">
        <v>0</v>
      </c>
      <c r="AP152" s="350">
        <v>0</v>
      </c>
      <c r="AQ152" s="350">
        <v>0</v>
      </c>
      <c r="AR152" s="350">
        <v>0</v>
      </c>
      <c r="AS152" s="178"/>
      <c r="AT152" s="303">
        <f t="shared" si="23"/>
        <v>107022</v>
      </c>
    </row>
    <row r="153" spans="1:46" ht="11.25" customHeight="1" hidden="1" outlineLevel="1">
      <c r="A153" s="174" t="s">
        <v>148</v>
      </c>
      <c r="B153" s="174"/>
      <c r="C153" s="350">
        <v>0</v>
      </c>
      <c r="D153" s="350">
        <v>0</v>
      </c>
      <c r="E153" s="350">
        <v>0</v>
      </c>
      <c r="F153" s="350">
        <v>0</v>
      </c>
      <c r="G153" s="350">
        <v>0</v>
      </c>
      <c r="H153" s="350">
        <v>0</v>
      </c>
      <c r="I153" s="350">
        <v>0</v>
      </c>
      <c r="J153" s="350">
        <v>0</v>
      </c>
      <c r="K153" s="350">
        <v>0</v>
      </c>
      <c r="L153" s="350">
        <v>0</v>
      </c>
      <c r="M153" s="350">
        <v>0</v>
      </c>
      <c r="N153" s="350">
        <v>0</v>
      </c>
      <c r="O153" s="350">
        <v>0</v>
      </c>
      <c r="P153" s="350">
        <v>0</v>
      </c>
      <c r="Q153" s="350">
        <v>0</v>
      </c>
      <c r="R153" s="350">
        <v>0</v>
      </c>
      <c r="S153" s="350">
        <v>0</v>
      </c>
      <c r="T153" s="350">
        <v>0</v>
      </c>
      <c r="U153" s="350">
        <v>0</v>
      </c>
      <c r="V153" s="350">
        <v>0</v>
      </c>
      <c r="W153" s="350">
        <v>0</v>
      </c>
      <c r="X153" s="350">
        <v>0</v>
      </c>
      <c r="Y153" s="350">
        <v>0</v>
      </c>
      <c r="Z153" s="350">
        <v>0</v>
      </c>
      <c r="AA153" s="350">
        <v>0</v>
      </c>
      <c r="AB153" s="350">
        <v>0</v>
      </c>
      <c r="AC153" s="350">
        <v>0</v>
      </c>
      <c r="AD153" s="350">
        <v>0</v>
      </c>
      <c r="AE153" s="350">
        <v>0</v>
      </c>
      <c r="AF153" s="350">
        <v>0</v>
      </c>
      <c r="AG153" s="350">
        <v>0</v>
      </c>
      <c r="AH153" s="350">
        <v>0</v>
      </c>
      <c r="AI153" s="350">
        <v>0</v>
      </c>
      <c r="AJ153" s="350">
        <v>0</v>
      </c>
      <c r="AK153" s="350">
        <v>0</v>
      </c>
      <c r="AL153" s="350">
        <v>0</v>
      </c>
      <c r="AM153" s="350">
        <v>0</v>
      </c>
      <c r="AN153" s="350">
        <v>0</v>
      </c>
      <c r="AO153" s="350">
        <v>0</v>
      </c>
      <c r="AP153" s="350">
        <v>0</v>
      </c>
      <c r="AQ153" s="350">
        <v>0</v>
      </c>
      <c r="AR153" s="350">
        <v>0</v>
      </c>
      <c r="AS153" s="178"/>
      <c r="AT153" s="303">
        <f t="shared" si="23"/>
        <v>0</v>
      </c>
    </row>
    <row r="154" spans="1:46" ht="11.25" customHeight="1" hidden="1" outlineLevel="1">
      <c r="A154" s="174" t="s">
        <v>149</v>
      </c>
      <c r="B154" s="174"/>
      <c r="C154" s="350">
        <v>0</v>
      </c>
      <c r="D154" s="350">
        <v>0</v>
      </c>
      <c r="E154" s="350">
        <v>0</v>
      </c>
      <c r="F154" s="350">
        <v>0</v>
      </c>
      <c r="G154" s="350">
        <v>0</v>
      </c>
      <c r="H154" s="350">
        <v>0</v>
      </c>
      <c r="I154" s="350">
        <v>0</v>
      </c>
      <c r="J154" s="350">
        <v>0</v>
      </c>
      <c r="K154" s="350">
        <v>0</v>
      </c>
      <c r="L154" s="350">
        <v>0</v>
      </c>
      <c r="M154" s="350">
        <v>0</v>
      </c>
      <c r="N154" s="350">
        <v>0</v>
      </c>
      <c r="O154" s="350">
        <v>0</v>
      </c>
      <c r="P154" s="350">
        <v>0</v>
      </c>
      <c r="Q154" s="350">
        <v>0</v>
      </c>
      <c r="R154" s="350">
        <v>0</v>
      </c>
      <c r="S154" s="350">
        <v>0</v>
      </c>
      <c r="T154" s="350">
        <v>0</v>
      </c>
      <c r="U154" s="350">
        <v>0</v>
      </c>
      <c r="V154" s="350">
        <v>0</v>
      </c>
      <c r="W154" s="350">
        <v>0</v>
      </c>
      <c r="X154" s="350">
        <v>0</v>
      </c>
      <c r="Y154" s="350">
        <v>0</v>
      </c>
      <c r="Z154" s="350">
        <v>0</v>
      </c>
      <c r="AA154" s="350">
        <v>0</v>
      </c>
      <c r="AB154" s="350">
        <v>0</v>
      </c>
      <c r="AC154" s="350">
        <v>0</v>
      </c>
      <c r="AD154" s="350">
        <v>0</v>
      </c>
      <c r="AE154" s="350">
        <v>0</v>
      </c>
      <c r="AF154" s="350">
        <v>0</v>
      </c>
      <c r="AG154" s="350">
        <v>0</v>
      </c>
      <c r="AH154" s="350">
        <v>-192642</v>
      </c>
      <c r="AI154" s="350">
        <v>56111</v>
      </c>
      <c r="AJ154" s="350">
        <v>21983</v>
      </c>
      <c r="AK154" s="350">
        <v>-17448</v>
      </c>
      <c r="AL154" s="350">
        <v>0</v>
      </c>
      <c r="AM154" s="350">
        <v>0</v>
      </c>
      <c r="AN154" s="350">
        <v>0</v>
      </c>
      <c r="AO154" s="350">
        <v>0</v>
      </c>
      <c r="AP154" s="350">
        <v>0</v>
      </c>
      <c r="AQ154" s="350">
        <v>0</v>
      </c>
      <c r="AR154" s="350">
        <v>0</v>
      </c>
      <c r="AS154" s="178"/>
      <c r="AT154" s="303">
        <f t="shared" si="23"/>
        <v>-131996</v>
      </c>
    </row>
    <row r="155" spans="1:46" ht="11.25" customHeight="1" collapsed="1">
      <c r="A155" s="176" t="s">
        <v>150</v>
      </c>
      <c r="B155" s="176"/>
      <c r="C155" s="346">
        <f>SUM(C148:C154)</f>
        <v>1735484</v>
      </c>
      <c r="D155" s="346">
        <f aca="true" t="shared" si="24" ref="D155:AR155">SUM(D148:D154)</f>
        <v>657323</v>
      </c>
      <c r="E155" s="346">
        <f t="shared" si="24"/>
        <v>95039</v>
      </c>
      <c r="F155" s="346">
        <f t="shared" si="24"/>
        <v>881118</v>
      </c>
      <c r="G155" s="346">
        <f t="shared" si="24"/>
        <v>93490</v>
      </c>
      <c r="H155" s="346">
        <f t="shared" si="24"/>
        <v>93004</v>
      </c>
      <c r="I155" s="346">
        <f t="shared" si="24"/>
        <v>0</v>
      </c>
      <c r="J155" s="346">
        <f t="shared" si="24"/>
        <v>21805</v>
      </c>
      <c r="K155" s="346">
        <f t="shared" si="24"/>
        <v>58372</v>
      </c>
      <c r="L155" s="346">
        <f t="shared" si="24"/>
        <v>24652</v>
      </c>
      <c r="M155" s="346">
        <f t="shared" si="24"/>
        <v>1330</v>
      </c>
      <c r="N155" s="346">
        <f t="shared" si="24"/>
        <v>97983</v>
      </c>
      <c r="O155" s="346">
        <f t="shared" si="24"/>
        <v>663705</v>
      </c>
      <c r="P155" s="346">
        <f t="shared" si="24"/>
        <v>7481193</v>
      </c>
      <c r="Q155" s="346">
        <f t="shared" si="24"/>
        <v>15562712</v>
      </c>
      <c r="R155" s="346">
        <f t="shared" si="24"/>
        <v>1709198</v>
      </c>
      <c r="S155" s="346">
        <f t="shared" si="24"/>
        <v>2337985</v>
      </c>
      <c r="T155" s="346">
        <f>SUM(T148:T154)</f>
        <v>1169604</v>
      </c>
      <c r="U155" s="346">
        <f>SUM(U148:U154)</f>
        <v>1608538</v>
      </c>
      <c r="V155" s="346">
        <f t="shared" si="24"/>
        <v>3915</v>
      </c>
      <c r="W155" s="346">
        <f t="shared" si="24"/>
        <v>147951</v>
      </c>
      <c r="X155" s="346">
        <f t="shared" si="24"/>
        <v>76977</v>
      </c>
      <c r="Y155" s="346">
        <f t="shared" si="24"/>
        <v>56756</v>
      </c>
      <c r="Z155" s="346">
        <f t="shared" si="24"/>
        <v>757277</v>
      </c>
      <c r="AA155" s="346">
        <f t="shared" si="24"/>
        <v>36590832</v>
      </c>
      <c r="AB155" s="346">
        <f t="shared" si="24"/>
        <v>2704943</v>
      </c>
      <c r="AC155" s="346">
        <f t="shared" si="24"/>
        <v>8700179</v>
      </c>
      <c r="AD155" s="346">
        <f t="shared" si="24"/>
        <v>54986</v>
      </c>
      <c r="AE155" s="346">
        <f t="shared" si="24"/>
        <v>19918</v>
      </c>
      <c r="AF155" s="346">
        <f t="shared" si="24"/>
        <v>404978</v>
      </c>
      <c r="AG155" s="346">
        <f t="shared" si="24"/>
        <v>58149</v>
      </c>
      <c r="AH155" s="346">
        <f>SUM(AH148:AH154)</f>
        <v>13452706</v>
      </c>
      <c r="AI155" s="346">
        <f>SUM(AI148:AI154)</f>
        <v>6162842</v>
      </c>
      <c r="AJ155" s="346">
        <f>SUM(AJ148:AJ154)</f>
        <v>3650496</v>
      </c>
      <c r="AK155" s="346">
        <f>SUM(AK148:AK154)</f>
        <v>3226772</v>
      </c>
      <c r="AL155" s="346">
        <f t="shared" si="24"/>
        <v>270224</v>
      </c>
      <c r="AM155" s="346">
        <f t="shared" si="24"/>
        <v>111884</v>
      </c>
      <c r="AN155" s="346">
        <f t="shared" si="24"/>
        <v>4508</v>
      </c>
      <c r="AO155" s="346">
        <f>SUM(AO148:AO154)</f>
        <v>68674</v>
      </c>
      <c r="AP155" s="346">
        <f t="shared" si="24"/>
        <v>19353</v>
      </c>
      <c r="AQ155" s="346">
        <f t="shared" si="24"/>
        <v>76568</v>
      </c>
      <c r="AR155" s="346">
        <f t="shared" si="24"/>
        <v>2249080</v>
      </c>
      <c r="AS155" s="178"/>
      <c r="AT155" s="303">
        <f>SUM(AT148:AT154)</f>
        <v>113162503</v>
      </c>
    </row>
    <row r="156" spans="1:46" ht="11.25" customHeight="1">
      <c r="A156" s="174"/>
      <c r="B156" s="174"/>
      <c r="C156" s="351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  <c r="AQ156" s="351"/>
      <c r="AR156" s="351"/>
      <c r="AS156" s="178"/>
      <c r="AT156" s="303"/>
    </row>
    <row r="157" spans="1:46" ht="11.25" customHeight="1">
      <c r="A157" s="176" t="s">
        <v>151</v>
      </c>
      <c r="B157" s="176"/>
      <c r="C157" s="346">
        <f>+C145-C155</f>
        <v>24062</v>
      </c>
      <c r="D157" s="346">
        <f aca="true" t="shared" si="25" ref="D157:AR157">+D145-D155</f>
        <v>-3605</v>
      </c>
      <c r="E157" s="346">
        <f t="shared" si="25"/>
        <v>3704</v>
      </c>
      <c r="F157" s="346">
        <f t="shared" si="25"/>
        <v>107578</v>
      </c>
      <c r="G157" s="346">
        <f t="shared" si="25"/>
        <v>109130</v>
      </c>
      <c r="H157" s="346">
        <f t="shared" si="25"/>
        <v>241672</v>
      </c>
      <c r="I157" s="346">
        <f t="shared" si="25"/>
        <v>0</v>
      </c>
      <c r="J157" s="346">
        <f t="shared" si="25"/>
        <v>1941</v>
      </c>
      <c r="K157" s="346">
        <f t="shared" si="25"/>
        <v>7029</v>
      </c>
      <c r="L157" s="346">
        <f t="shared" si="25"/>
        <v>-2620</v>
      </c>
      <c r="M157" s="346">
        <f t="shared" si="25"/>
        <v>-2815</v>
      </c>
      <c r="N157" s="346">
        <f t="shared" si="25"/>
        <v>569</v>
      </c>
      <c r="O157" s="346">
        <f t="shared" si="25"/>
        <v>-2527</v>
      </c>
      <c r="P157" s="346">
        <f t="shared" si="25"/>
        <v>-21301</v>
      </c>
      <c r="Q157" s="346">
        <f t="shared" si="25"/>
        <v>26219</v>
      </c>
      <c r="R157" s="346">
        <f t="shared" si="25"/>
        <v>17746</v>
      </c>
      <c r="S157" s="346">
        <f t="shared" si="25"/>
        <v>55950</v>
      </c>
      <c r="T157" s="346">
        <f>+T145-T155</f>
        <v>0</v>
      </c>
      <c r="U157" s="346">
        <f>+U145-U155</f>
        <v>0</v>
      </c>
      <c r="V157" s="346">
        <f t="shared" si="25"/>
        <v>0</v>
      </c>
      <c r="W157" s="346">
        <f t="shared" si="25"/>
        <v>63015</v>
      </c>
      <c r="X157" s="346">
        <f t="shared" si="25"/>
        <v>11309</v>
      </c>
      <c r="Y157" s="346">
        <f t="shared" si="25"/>
        <v>25617</v>
      </c>
      <c r="Z157" s="346">
        <f t="shared" si="25"/>
        <v>34479</v>
      </c>
      <c r="AA157" s="346">
        <f t="shared" si="25"/>
        <v>203427</v>
      </c>
      <c r="AB157" s="346">
        <f t="shared" si="25"/>
        <v>-7329</v>
      </c>
      <c r="AC157" s="346">
        <f t="shared" si="25"/>
        <v>-342511</v>
      </c>
      <c r="AD157" s="346">
        <f t="shared" si="25"/>
        <v>0</v>
      </c>
      <c r="AE157" s="346">
        <f t="shared" si="25"/>
        <v>2263</v>
      </c>
      <c r="AF157" s="346">
        <f t="shared" si="25"/>
        <v>-87</v>
      </c>
      <c r="AG157" s="346">
        <f t="shared" si="25"/>
        <v>-5</v>
      </c>
      <c r="AH157" s="346">
        <f>+AH145-AH155</f>
        <v>23784</v>
      </c>
      <c r="AI157" s="346">
        <f>+AI145-AI155</f>
        <v>15938</v>
      </c>
      <c r="AJ157" s="346">
        <f>+AJ145-AJ155</f>
        <v>3538</v>
      </c>
      <c r="AK157" s="346">
        <f>+AK145-AK155</f>
        <v>1</v>
      </c>
      <c r="AL157" s="346">
        <f t="shared" si="25"/>
        <v>-4493</v>
      </c>
      <c r="AM157" s="346">
        <f t="shared" si="25"/>
        <v>1332</v>
      </c>
      <c r="AN157" s="346">
        <f t="shared" si="25"/>
        <v>1</v>
      </c>
      <c r="AO157" s="346">
        <f>+AO145-AO155</f>
        <v>-4333</v>
      </c>
      <c r="AP157" s="346">
        <f t="shared" si="25"/>
        <v>-1</v>
      </c>
      <c r="AQ157" s="346">
        <f t="shared" si="25"/>
        <v>1</v>
      </c>
      <c r="AR157" s="346">
        <f t="shared" si="25"/>
        <v>-1675</v>
      </c>
      <c r="AS157" s="346"/>
      <c r="AT157" s="346">
        <f>+AT145-AT155</f>
        <v>587003</v>
      </c>
    </row>
    <row r="158" spans="1:46" ht="11.25" customHeight="1">
      <c r="A158" s="176"/>
      <c r="B158" s="176"/>
      <c r="C158" s="346"/>
      <c r="D158" s="346"/>
      <c r="E158" s="346"/>
      <c r="F158" s="346"/>
      <c r="G158" s="346"/>
      <c r="H158" s="346"/>
      <c r="I158" s="346"/>
      <c r="J158" s="346"/>
      <c r="K158" s="346"/>
      <c r="L158" s="346"/>
      <c r="M158" s="346"/>
      <c r="N158" s="346"/>
      <c r="O158" s="346"/>
      <c r="P158" s="346"/>
      <c r="Q158" s="346"/>
      <c r="R158" s="346"/>
      <c r="S158" s="346"/>
      <c r="T158" s="346"/>
      <c r="U158" s="346"/>
      <c r="V158" s="346"/>
      <c r="W158" s="346"/>
      <c r="X158" s="346"/>
      <c r="Y158" s="346"/>
      <c r="Z158" s="346"/>
      <c r="AA158" s="346"/>
      <c r="AB158" s="346"/>
      <c r="AC158" s="346"/>
      <c r="AD158" s="346"/>
      <c r="AE158" s="346"/>
      <c r="AF158" s="346"/>
      <c r="AG158" s="346"/>
      <c r="AH158" s="346"/>
      <c r="AI158" s="346"/>
      <c r="AJ158" s="346"/>
      <c r="AK158" s="346"/>
      <c r="AL158" s="346"/>
      <c r="AM158" s="346"/>
      <c r="AN158" s="346"/>
      <c r="AO158" s="346"/>
      <c r="AP158" s="346"/>
      <c r="AQ158" s="346"/>
      <c r="AR158" s="346"/>
      <c r="AS158" s="178"/>
      <c r="AT158" s="303"/>
    </row>
    <row r="159" spans="1:46" ht="11.25" customHeight="1">
      <c r="A159" s="176" t="s">
        <v>152</v>
      </c>
      <c r="B159" s="176"/>
      <c r="C159" s="352">
        <v>48237</v>
      </c>
      <c r="D159" s="352">
        <v>48770</v>
      </c>
      <c r="E159" s="352">
        <v>5160</v>
      </c>
      <c r="F159" s="352">
        <v>36788</v>
      </c>
      <c r="G159" s="352">
        <v>103021</v>
      </c>
      <c r="H159" s="352">
        <v>87433</v>
      </c>
      <c r="I159" s="352">
        <v>0</v>
      </c>
      <c r="J159" s="352">
        <v>-1940</v>
      </c>
      <c r="K159" s="352">
        <v>-7029</v>
      </c>
      <c r="L159" s="352">
        <v>2620</v>
      </c>
      <c r="M159" s="352">
        <v>2815</v>
      </c>
      <c r="N159" s="352">
        <v>-299</v>
      </c>
      <c r="O159" s="352">
        <v>10639</v>
      </c>
      <c r="P159" s="352">
        <v>83243</v>
      </c>
      <c r="Q159" s="352">
        <v>232907</v>
      </c>
      <c r="R159" s="352">
        <v>24364</v>
      </c>
      <c r="S159" s="352">
        <v>4859</v>
      </c>
      <c r="T159" s="352">
        <v>0</v>
      </c>
      <c r="U159" s="352">
        <v>0</v>
      </c>
      <c r="V159" s="352">
        <v>0</v>
      </c>
      <c r="W159" s="352">
        <v>29724</v>
      </c>
      <c r="X159" s="352">
        <v>11393</v>
      </c>
      <c r="Y159" s="352">
        <v>10082</v>
      </c>
      <c r="Z159" s="352">
        <v>19760</v>
      </c>
      <c r="AA159" s="352">
        <v>63502</v>
      </c>
      <c r="AB159" s="352">
        <v>14589</v>
      </c>
      <c r="AC159" s="352">
        <v>456680</v>
      </c>
      <c r="AD159" s="352">
        <v>0</v>
      </c>
      <c r="AE159" s="352">
        <v>167</v>
      </c>
      <c r="AF159" s="352">
        <v>125</v>
      </c>
      <c r="AG159" s="352">
        <v>5</v>
      </c>
      <c r="AH159" s="352">
        <v>20448</v>
      </c>
      <c r="AI159" s="352">
        <v>3245</v>
      </c>
      <c r="AJ159" s="352">
        <v>3068</v>
      </c>
      <c r="AK159" s="352">
        <v>0</v>
      </c>
      <c r="AL159" s="352">
        <v>4672</v>
      </c>
      <c r="AM159" s="352">
        <v>1284</v>
      </c>
      <c r="AN159" s="352">
        <v>0</v>
      </c>
      <c r="AO159" s="352">
        <v>4333</v>
      </c>
      <c r="AP159" s="352">
        <v>0</v>
      </c>
      <c r="AQ159" s="352">
        <v>0</v>
      </c>
      <c r="AR159" s="352">
        <v>4876</v>
      </c>
      <c r="AS159" s="178"/>
      <c r="AT159" s="303">
        <f>SUM(C159:AR159)</f>
        <v>1329541</v>
      </c>
    </row>
    <row r="160" spans="1:46" ht="11.25" customHeight="1">
      <c r="A160" s="174"/>
      <c r="B160" s="174"/>
      <c r="C160" s="353"/>
      <c r="D160" s="353"/>
      <c r="E160" s="353"/>
      <c r="F160" s="353"/>
      <c r="G160" s="353"/>
      <c r="H160" s="353"/>
      <c r="I160" s="353"/>
      <c r="J160" s="353"/>
      <c r="K160" s="353"/>
      <c r="L160" s="353"/>
      <c r="M160" s="353"/>
      <c r="N160" s="353"/>
      <c r="O160" s="353"/>
      <c r="P160" s="353"/>
      <c r="Q160" s="353"/>
      <c r="R160" s="353"/>
      <c r="S160" s="353"/>
      <c r="T160" s="353"/>
      <c r="U160" s="353"/>
      <c r="V160" s="353"/>
      <c r="W160" s="353"/>
      <c r="X160" s="353"/>
      <c r="Y160" s="353"/>
      <c r="Z160" s="353"/>
      <c r="AA160" s="353"/>
      <c r="AB160" s="353"/>
      <c r="AC160" s="353"/>
      <c r="AD160" s="353"/>
      <c r="AE160" s="353"/>
      <c r="AF160" s="353"/>
      <c r="AG160" s="353"/>
      <c r="AH160" s="353"/>
      <c r="AI160" s="353"/>
      <c r="AJ160" s="353"/>
      <c r="AK160" s="353"/>
      <c r="AL160" s="353"/>
      <c r="AM160" s="353"/>
      <c r="AN160" s="353"/>
      <c r="AO160" s="353"/>
      <c r="AP160" s="353"/>
      <c r="AQ160" s="353"/>
      <c r="AR160" s="353"/>
      <c r="AS160" s="178"/>
      <c r="AT160" s="303"/>
    </row>
    <row r="161" spans="1:47" s="22" customFormat="1" ht="11.25" customHeight="1">
      <c r="A161" s="193" t="s">
        <v>153</v>
      </c>
      <c r="B161" s="193"/>
      <c r="C161" s="354">
        <f>+C157+C159</f>
        <v>72299</v>
      </c>
      <c r="D161" s="354">
        <f aca="true" t="shared" si="26" ref="D161:AR161">+D157+D159</f>
        <v>45165</v>
      </c>
      <c r="E161" s="354">
        <f t="shared" si="26"/>
        <v>8864</v>
      </c>
      <c r="F161" s="354">
        <f t="shared" si="26"/>
        <v>144366</v>
      </c>
      <c r="G161" s="354">
        <f t="shared" si="26"/>
        <v>212151</v>
      </c>
      <c r="H161" s="354">
        <f t="shared" si="26"/>
        <v>329105</v>
      </c>
      <c r="I161" s="354">
        <f t="shared" si="26"/>
        <v>0</v>
      </c>
      <c r="J161" s="354">
        <f t="shared" si="26"/>
        <v>1</v>
      </c>
      <c r="K161" s="354">
        <f t="shared" si="26"/>
        <v>0</v>
      </c>
      <c r="L161" s="354">
        <f t="shared" si="26"/>
        <v>0</v>
      </c>
      <c r="M161" s="354">
        <f t="shared" si="26"/>
        <v>0</v>
      </c>
      <c r="N161" s="354">
        <f t="shared" si="26"/>
        <v>270</v>
      </c>
      <c r="O161" s="354">
        <f t="shared" si="26"/>
        <v>8112</v>
      </c>
      <c r="P161" s="354">
        <f t="shared" si="26"/>
        <v>61942</v>
      </c>
      <c r="Q161" s="354">
        <f t="shared" si="26"/>
        <v>259126</v>
      </c>
      <c r="R161" s="354">
        <f t="shared" si="26"/>
        <v>42110</v>
      </c>
      <c r="S161" s="354">
        <f t="shared" si="26"/>
        <v>60809</v>
      </c>
      <c r="T161" s="354">
        <f>+T157+T159</f>
        <v>0</v>
      </c>
      <c r="U161" s="354">
        <f>+U157+U159</f>
        <v>0</v>
      </c>
      <c r="V161" s="354">
        <f t="shared" si="26"/>
        <v>0</v>
      </c>
      <c r="W161" s="354">
        <f t="shared" si="26"/>
        <v>92739</v>
      </c>
      <c r="X161" s="354">
        <f t="shared" si="26"/>
        <v>22702</v>
      </c>
      <c r="Y161" s="354">
        <f t="shared" si="26"/>
        <v>35699</v>
      </c>
      <c r="Z161" s="354">
        <f t="shared" si="26"/>
        <v>54239</v>
      </c>
      <c r="AA161" s="354">
        <f t="shared" si="26"/>
        <v>266929</v>
      </c>
      <c r="AB161" s="354">
        <f t="shared" si="26"/>
        <v>7260</v>
      </c>
      <c r="AC161" s="354">
        <f t="shared" si="26"/>
        <v>114169</v>
      </c>
      <c r="AD161" s="354">
        <f t="shared" si="26"/>
        <v>0</v>
      </c>
      <c r="AE161" s="354">
        <f t="shared" si="26"/>
        <v>2430</v>
      </c>
      <c r="AF161" s="354">
        <f t="shared" si="26"/>
        <v>38</v>
      </c>
      <c r="AG161" s="354">
        <f t="shared" si="26"/>
        <v>0</v>
      </c>
      <c r="AH161" s="354">
        <f>+AH157+AH159</f>
        <v>44232</v>
      </c>
      <c r="AI161" s="354">
        <f>+AI157+AI159</f>
        <v>19183</v>
      </c>
      <c r="AJ161" s="354">
        <f>+AJ157+AJ159</f>
        <v>6606</v>
      </c>
      <c r="AK161" s="354">
        <f>+AK157+AK159</f>
        <v>1</v>
      </c>
      <c r="AL161" s="354">
        <f t="shared" si="26"/>
        <v>179</v>
      </c>
      <c r="AM161" s="354">
        <f t="shared" si="26"/>
        <v>2616</v>
      </c>
      <c r="AN161" s="354">
        <f t="shared" si="26"/>
        <v>1</v>
      </c>
      <c r="AO161" s="354">
        <f>+AO157+AO159</f>
        <v>0</v>
      </c>
      <c r="AP161" s="354">
        <f t="shared" si="26"/>
        <v>-1</v>
      </c>
      <c r="AQ161" s="354">
        <f t="shared" si="26"/>
        <v>1</v>
      </c>
      <c r="AR161" s="354">
        <f t="shared" si="26"/>
        <v>3201</v>
      </c>
      <c r="AS161" s="354"/>
      <c r="AT161" s="354">
        <f>+AT157+AT159</f>
        <v>1916544</v>
      </c>
      <c r="AU161" s="25"/>
    </row>
    <row r="162" spans="3:46" ht="11.25" customHeight="1"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T162" s="25">
        <f>COUNTBLANK(C162:AR162)</f>
        <v>42</v>
      </c>
    </row>
    <row r="163" spans="3:44" ht="11.25" customHeight="1">
      <c r="C163" s="26"/>
      <c r="D163" s="26"/>
      <c r="E163" s="26"/>
      <c r="F163" s="26"/>
      <c r="G163" s="26"/>
      <c r="H163" s="26"/>
      <c r="I163" s="26"/>
      <c r="J163" s="19"/>
      <c r="K163" s="19"/>
      <c r="L163" s="19"/>
      <c r="M163" s="19"/>
      <c r="N163" s="19"/>
      <c r="O163" s="19"/>
      <c r="P163" s="59"/>
      <c r="Q163" s="59"/>
      <c r="R163" s="26"/>
      <c r="S163" s="26"/>
      <c r="T163" s="26"/>
      <c r="U163" s="26"/>
      <c r="V163" s="19"/>
      <c r="W163" s="19"/>
      <c r="X163" s="19"/>
      <c r="Y163" s="19"/>
      <c r="Z163" s="19"/>
      <c r="AA163" s="26"/>
      <c r="AB163" s="26"/>
      <c r="AC163" s="26"/>
      <c r="AD163" s="19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19"/>
      <c r="AQ163" s="19"/>
      <c r="AR163" s="26"/>
    </row>
    <row r="164" spans="3:44" ht="11.25" customHeight="1">
      <c r="C164" s="26"/>
      <c r="D164" s="26"/>
      <c r="E164" s="26"/>
      <c r="F164" s="26"/>
      <c r="G164" s="26"/>
      <c r="H164" s="26"/>
      <c r="I164" s="26"/>
      <c r="J164" s="19"/>
      <c r="K164" s="19"/>
      <c r="L164" s="19"/>
      <c r="M164" s="19"/>
      <c r="N164" s="19"/>
      <c r="O164" s="19"/>
      <c r="P164" s="26"/>
      <c r="R164" s="26"/>
      <c r="S164" s="26"/>
      <c r="T164" s="26"/>
      <c r="U164" s="26"/>
      <c r="V164" s="19"/>
      <c r="W164" s="19"/>
      <c r="X164" s="19"/>
      <c r="Y164" s="19"/>
      <c r="Z164" s="19"/>
      <c r="AA164" s="26"/>
      <c r="AB164" s="26"/>
      <c r="AC164" s="26"/>
      <c r="AD164" s="19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19"/>
      <c r="AQ164" s="19"/>
      <c r="AR164" s="26"/>
    </row>
    <row r="165" spans="3:44" ht="11.25" customHeight="1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26"/>
      <c r="AP165" s="19"/>
      <c r="AQ165" s="19"/>
      <c r="AR165" s="19"/>
    </row>
    <row r="166" spans="10:43" ht="11.25" customHeight="1">
      <c r="J166" s="19"/>
      <c r="K166" s="19"/>
      <c r="L166" s="19"/>
      <c r="M166" s="19"/>
      <c r="N166" s="19"/>
      <c r="O166" s="19"/>
      <c r="V166" s="19"/>
      <c r="W166" s="19"/>
      <c r="X166" s="19"/>
      <c r="Y166" s="19"/>
      <c r="Z166" s="19"/>
      <c r="AD166" s="19"/>
      <c r="AP166" s="19"/>
      <c r="AQ166" s="19"/>
    </row>
    <row r="167" spans="3:44" ht="11.25" customHeight="1">
      <c r="C167" s="19"/>
      <c r="D167" s="19"/>
      <c r="E167" s="26"/>
      <c r="F167" s="26"/>
      <c r="G167" s="26"/>
      <c r="H167" s="26"/>
      <c r="I167" s="26"/>
      <c r="J167" s="19"/>
      <c r="K167" s="19"/>
      <c r="L167" s="19"/>
      <c r="M167" s="19"/>
      <c r="N167" s="19"/>
      <c r="O167" s="19"/>
      <c r="P167" s="26"/>
      <c r="Q167" s="26"/>
      <c r="R167" s="26"/>
      <c r="S167" s="26"/>
      <c r="T167" s="19"/>
      <c r="U167" s="19"/>
      <c r="V167" s="19"/>
      <c r="W167" s="19"/>
      <c r="X167" s="19"/>
      <c r="Y167" s="19"/>
      <c r="Z167" s="19"/>
      <c r="AA167" s="26"/>
      <c r="AB167" s="26"/>
      <c r="AC167" s="26"/>
      <c r="AD167" s="19"/>
      <c r="AE167" s="26"/>
      <c r="AF167" s="26"/>
      <c r="AG167" s="26"/>
      <c r="AH167" s="26"/>
      <c r="AI167" s="19"/>
      <c r="AJ167" s="19"/>
      <c r="AK167" s="19"/>
      <c r="AL167" s="26"/>
      <c r="AM167" s="26"/>
      <c r="AN167" s="26"/>
      <c r="AO167" s="26"/>
      <c r="AP167" s="19"/>
      <c r="AQ167" s="19"/>
      <c r="AR167" s="26"/>
    </row>
    <row r="168" spans="10:13" ht="11.25" customHeight="1">
      <c r="J168" s="19"/>
      <c r="K168" s="19"/>
      <c r="L168" s="19"/>
      <c r="M168" s="19"/>
    </row>
    <row r="169" spans="3:44" ht="11.25" customHeight="1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</row>
    <row r="170" spans="10:13" ht="11.25" customHeight="1">
      <c r="J170" s="19"/>
      <c r="K170" s="19"/>
      <c r="L170" s="19"/>
      <c r="M170" s="19"/>
    </row>
    <row r="171" spans="10:13" ht="11.25" customHeight="1">
      <c r="J171" s="19"/>
      <c r="K171" s="19"/>
      <c r="L171" s="19"/>
      <c r="M171" s="19"/>
    </row>
    <row r="172" spans="10:43" ht="11.25" customHeight="1">
      <c r="J172" s="19"/>
      <c r="K172" s="19"/>
      <c r="L172" s="19"/>
      <c r="M172" s="19"/>
      <c r="N172" s="19"/>
      <c r="O172" s="19"/>
      <c r="V172" s="19"/>
      <c r="W172" s="19"/>
      <c r="X172" s="19"/>
      <c r="Y172" s="19"/>
      <c r="Z172" s="19"/>
      <c r="AD172" s="19"/>
      <c r="AP172" s="19"/>
      <c r="AQ172" s="19"/>
    </row>
    <row r="173" spans="3:44" ht="11.25" customHeight="1">
      <c r="C173" s="26"/>
      <c r="D173" s="26"/>
      <c r="E173" s="26"/>
      <c r="F173" s="26"/>
      <c r="G173" s="26"/>
      <c r="H173" s="26"/>
      <c r="I173" s="26"/>
      <c r="J173" s="19"/>
      <c r="K173" s="19"/>
      <c r="L173" s="19"/>
      <c r="M173" s="19"/>
      <c r="N173" s="19"/>
      <c r="O173" s="19"/>
      <c r="P173" s="26"/>
      <c r="Q173" s="26"/>
      <c r="R173" s="26"/>
      <c r="S173" s="26"/>
      <c r="T173" s="26"/>
      <c r="U173" s="26"/>
      <c r="V173" s="19"/>
      <c r="W173" s="19"/>
      <c r="X173" s="19"/>
      <c r="Y173" s="19"/>
      <c r="Z173" s="19"/>
      <c r="AA173" s="26"/>
      <c r="AB173" s="26"/>
      <c r="AC173" s="26"/>
      <c r="AD173" s="19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19"/>
      <c r="AQ173" s="19"/>
      <c r="AR173" s="26"/>
    </row>
    <row r="174" spans="10:43" ht="11.25" customHeight="1">
      <c r="J174" s="19"/>
      <c r="K174" s="19"/>
      <c r="L174" s="19"/>
      <c r="M174" s="19"/>
      <c r="N174" s="19"/>
      <c r="O174" s="19"/>
      <c r="V174" s="19"/>
      <c r="W174" s="19"/>
      <c r="X174" s="19"/>
      <c r="Y174" s="19"/>
      <c r="Z174" s="19"/>
      <c r="AD174" s="19"/>
      <c r="AP174" s="19"/>
      <c r="AQ174" s="19"/>
    </row>
    <row r="175" spans="10:43" ht="11.25" customHeight="1">
      <c r="J175" s="19"/>
      <c r="K175" s="19"/>
      <c r="L175" s="19"/>
      <c r="M175" s="19"/>
      <c r="N175" s="19"/>
      <c r="O175" s="19"/>
      <c r="V175" s="19"/>
      <c r="W175" s="19"/>
      <c r="X175" s="19"/>
      <c r="Y175" s="19"/>
      <c r="Z175" s="19"/>
      <c r="AD175" s="19"/>
      <c r="AP175" s="19"/>
      <c r="AQ175" s="19"/>
    </row>
    <row r="176" spans="3:44" ht="11.25" customHeight="1">
      <c r="C176" s="26"/>
      <c r="D176" s="26"/>
      <c r="E176" s="26"/>
      <c r="F176" s="26"/>
      <c r="G176" s="26"/>
      <c r="H176" s="26"/>
      <c r="I176" s="26"/>
      <c r="J176" s="19"/>
      <c r="K176" s="19"/>
      <c r="L176" s="19"/>
      <c r="M176" s="19"/>
      <c r="N176" s="19"/>
      <c r="O176" s="19"/>
      <c r="P176" s="26"/>
      <c r="Q176" s="26"/>
      <c r="R176" s="26"/>
      <c r="S176" s="26"/>
      <c r="T176" s="26"/>
      <c r="U176" s="26"/>
      <c r="V176" s="19"/>
      <c r="W176" s="19"/>
      <c r="X176" s="19"/>
      <c r="Y176" s="19"/>
      <c r="Z176" s="19"/>
      <c r="AA176" s="26"/>
      <c r="AB176" s="26"/>
      <c r="AC176" s="26"/>
      <c r="AD176" s="19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19"/>
      <c r="AQ176" s="19"/>
      <c r="AR176" s="26"/>
    </row>
    <row r="177" spans="3:44" ht="11.25" customHeight="1">
      <c r="C177" s="26"/>
      <c r="D177" s="26"/>
      <c r="E177" s="26"/>
      <c r="F177" s="26"/>
      <c r="G177" s="26"/>
      <c r="H177" s="26"/>
      <c r="I177" s="26"/>
      <c r="J177" s="19"/>
      <c r="K177" s="19"/>
      <c r="L177" s="19"/>
      <c r="M177" s="19"/>
      <c r="N177" s="19"/>
      <c r="O177" s="19"/>
      <c r="P177" s="26"/>
      <c r="Q177" s="26"/>
      <c r="R177" s="26"/>
      <c r="S177" s="26"/>
      <c r="T177" s="26"/>
      <c r="U177" s="26"/>
      <c r="V177" s="19"/>
      <c r="W177" s="19"/>
      <c r="X177" s="19"/>
      <c r="Y177" s="19"/>
      <c r="Z177" s="19"/>
      <c r="AA177" s="26"/>
      <c r="AB177" s="26"/>
      <c r="AC177" s="26"/>
      <c r="AD177" s="19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19"/>
      <c r="AQ177" s="19"/>
      <c r="AR177" s="26"/>
    </row>
    <row r="178" spans="3:44" ht="11.25" customHeight="1">
      <c r="C178" s="26"/>
      <c r="D178" s="26"/>
      <c r="E178" s="26"/>
      <c r="F178" s="26"/>
      <c r="G178" s="26"/>
      <c r="H178" s="26"/>
      <c r="I178" s="26"/>
      <c r="J178" s="19"/>
      <c r="K178" s="19"/>
      <c r="L178" s="19"/>
      <c r="M178" s="19"/>
      <c r="N178" s="19"/>
      <c r="O178" s="19"/>
      <c r="P178" s="26"/>
      <c r="Q178" s="26"/>
      <c r="R178" s="26"/>
      <c r="S178" s="26"/>
      <c r="T178" s="26"/>
      <c r="U178" s="26"/>
      <c r="V178" s="19"/>
      <c r="W178" s="19"/>
      <c r="X178" s="19"/>
      <c r="Y178" s="19"/>
      <c r="Z178" s="19"/>
      <c r="AA178" s="26"/>
      <c r="AB178" s="26"/>
      <c r="AC178" s="26"/>
      <c r="AD178" s="19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19"/>
      <c r="AQ178" s="19"/>
      <c r="AR178" s="26"/>
    </row>
    <row r="179" spans="3:44" ht="11.25" customHeight="1">
      <c r="C179" s="26"/>
      <c r="D179" s="26"/>
      <c r="E179" s="26"/>
      <c r="F179" s="26"/>
      <c r="G179" s="26"/>
      <c r="H179" s="26"/>
      <c r="I179" s="26"/>
      <c r="J179" s="19"/>
      <c r="K179" s="19"/>
      <c r="L179" s="19"/>
      <c r="M179" s="19"/>
      <c r="N179" s="19"/>
      <c r="O179" s="19"/>
      <c r="Q179" s="59"/>
      <c r="R179" s="26"/>
      <c r="S179" s="26"/>
      <c r="T179" s="26"/>
      <c r="U179" s="26"/>
      <c r="V179" s="19"/>
      <c r="W179" s="19"/>
      <c r="X179" s="19"/>
      <c r="Y179" s="19"/>
      <c r="Z179" s="19"/>
      <c r="AA179" s="26"/>
      <c r="AB179" s="26"/>
      <c r="AC179" s="26"/>
      <c r="AD179" s="19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19"/>
      <c r="AQ179" s="19"/>
      <c r="AR179" s="26"/>
    </row>
    <row r="180" spans="3:44" ht="11.25" customHeight="1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</row>
    <row r="181" spans="3:43" ht="11.25" customHeight="1">
      <c r="C181" s="26"/>
      <c r="D181" s="26"/>
      <c r="J181" s="19"/>
      <c r="K181" s="19"/>
      <c r="L181" s="19"/>
      <c r="M181" s="19"/>
      <c r="N181" s="19"/>
      <c r="O181" s="19"/>
      <c r="T181" s="26"/>
      <c r="U181" s="26"/>
      <c r="V181" s="19"/>
      <c r="W181" s="19"/>
      <c r="X181" s="19"/>
      <c r="Y181" s="19"/>
      <c r="Z181" s="19"/>
      <c r="AD181" s="19"/>
      <c r="AP181" s="19"/>
      <c r="AQ181" s="19"/>
    </row>
    <row r="182" spans="3:44" ht="11.25" customHeight="1">
      <c r="C182" s="26"/>
      <c r="D182" s="2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26"/>
      <c r="U182" s="26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26"/>
      <c r="AJ182" s="26"/>
      <c r="AK182" s="26"/>
      <c r="AL182" s="19"/>
      <c r="AM182" s="19"/>
      <c r="AN182" s="19"/>
      <c r="AO182" s="19"/>
      <c r="AP182" s="19"/>
      <c r="AQ182" s="19"/>
      <c r="AR182" s="19"/>
    </row>
    <row r="183" spans="3:43" ht="11.25" customHeight="1">
      <c r="C183" s="26"/>
      <c r="D183" s="26"/>
      <c r="J183" s="19"/>
      <c r="K183" s="19"/>
      <c r="L183" s="19"/>
      <c r="M183" s="19"/>
      <c r="N183" s="19"/>
      <c r="O183" s="19"/>
      <c r="T183" s="26"/>
      <c r="U183" s="26"/>
      <c r="V183" s="19"/>
      <c r="W183" s="19"/>
      <c r="X183" s="19"/>
      <c r="Y183" s="19"/>
      <c r="Z183" s="19"/>
      <c r="AD183" s="19"/>
      <c r="AP183" s="19"/>
      <c r="AQ183" s="19"/>
    </row>
    <row r="184" spans="3:44" ht="11.25" customHeight="1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</row>
    <row r="185" spans="3:44" ht="11.25" customHeight="1">
      <c r="C185" s="26"/>
      <c r="D185" s="26"/>
      <c r="E185" s="26"/>
      <c r="F185" s="26"/>
      <c r="G185" s="26"/>
      <c r="H185" s="26"/>
      <c r="I185" s="26"/>
      <c r="J185" s="19"/>
      <c r="K185" s="19"/>
      <c r="L185" s="19"/>
      <c r="M185" s="19"/>
      <c r="P185" s="26"/>
      <c r="Q185" s="26"/>
      <c r="R185" s="26"/>
      <c r="S185" s="26"/>
      <c r="T185" s="26"/>
      <c r="U185" s="26"/>
      <c r="AA185" s="26"/>
      <c r="AB185" s="26"/>
      <c r="AC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</row>
    <row r="186" spans="3:44" ht="11.25" customHeight="1"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2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</row>
    <row r="187" spans="3:44" ht="11.25" customHeight="1"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2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</row>
    <row r="188" ht="11.25" customHeight="1">
      <c r="J188" s="19"/>
    </row>
    <row r="189" spans="3:21" ht="11.25" customHeight="1">
      <c r="C189" s="26"/>
      <c r="D189" s="26"/>
      <c r="T189" s="26"/>
      <c r="U189" s="26"/>
    </row>
    <row r="190" spans="5:43" ht="11.25" customHeight="1">
      <c r="E190" s="29"/>
      <c r="I190" s="29"/>
      <c r="J190" s="19"/>
      <c r="K190" s="19"/>
      <c r="L190" s="19"/>
      <c r="M190" s="19"/>
      <c r="P190" s="29"/>
      <c r="Q190" s="29"/>
      <c r="R190" s="19"/>
      <c r="S190" s="29"/>
      <c r="AA190" s="29"/>
      <c r="AB190" s="29"/>
      <c r="AC190" s="29"/>
      <c r="AE190" s="29"/>
      <c r="AH190" s="29"/>
      <c r="AL190" s="29"/>
      <c r="AM190" s="29"/>
      <c r="AN190" s="29"/>
      <c r="AQ190" s="29"/>
    </row>
    <row r="191" spans="3:44" ht="11.25" customHeight="1">
      <c r="C191" s="19"/>
      <c r="D191" s="19"/>
      <c r="E191" s="26"/>
      <c r="F191" s="26"/>
      <c r="G191" s="26"/>
      <c r="H191" s="26"/>
      <c r="I191" s="26"/>
      <c r="J191" s="19"/>
      <c r="K191" s="19"/>
      <c r="L191" s="19"/>
      <c r="M191" s="19"/>
      <c r="P191" s="26"/>
      <c r="Q191" s="26"/>
      <c r="R191" s="26"/>
      <c r="S191" s="26"/>
      <c r="T191" s="19"/>
      <c r="U191" s="19"/>
      <c r="AA191" s="26"/>
      <c r="AB191" s="26"/>
      <c r="AC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</row>
    <row r="192" spans="3:44" ht="11.25" customHeight="1">
      <c r="C192" s="19"/>
      <c r="D192" s="19"/>
      <c r="E192" s="26"/>
      <c r="F192" s="26"/>
      <c r="G192" s="26"/>
      <c r="H192" s="26"/>
      <c r="I192" s="26"/>
      <c r="J192" s="19"/>
      <c r="K192" s="19"/>
      <c r="L192" s="19"/>
      <c r="M192" s="19"/>
      <c r="P192" s="26"/>
      <c r="Q192" s="26"/>
      <c r="R192" s="26"/>
      <c r="S192" s="26"/>
      <c r="T192" s="19"/>
      <c r="U192" s="19"/>
      <c r="AA192" s="26"/>
      <c r="AB192" s="26"/>
      <c r="AC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</row>
    <row r="193" spans="3:44" ht="11.25" customHeight="1">
      <c r="C193" s="19"/>
      <c r="D193" s="19"/>
      <c r="E193" s="19"/>
      <c r="F193" s="26"/>
      <c r="G193" s="26"/>
      <c r="H193" s="26"/>
      <c r="I193" s="26"/>
      <c r="J193" s="19"/>
      <c r="K193" s="19"/>
      <c r="L193" s="19"/>
      <c r="M193" s="19"/>
      <c r="P193" s="26"/>
      <c r="Q193" s="26"/>
      <c r="R193" s="26"/>
      <c r="S193" s="26"/>
      <c r="T193" s="19"/>
      <c r="U193" s="19"/>
      <c r="AA193" s="26"/>
      <c r="AB193" s="26"/>
      <c r="AC193" s="26"/>
      <c r="AE193" s="26"/>
      <c r="AF193" s="26"/>
      <c r="AG193" s="26"/>
      <c r="AH193" s="26"/>
      <c r="AI193" s="19"/>
      <c r="AJ193" s="19"/>
      <c r="AK193" s="19"/>
      <c r="AL193" s="19"/>
      <c r="AM193" s="19"/>
      <c r="AN193" s="19"/>
      <c r="AO193" s="26"/>
      <c r="AP193" s="26"/>
      <c r="AQ193" s="26"/>
      <c r="AR193" s="19"/>
    </row>
    <row r="194" spans="3:44" ht="11.25" customHeight="1">
      <c r="C194" s="19"/>
      <c r="D194" s="19"/>
      <c r="E194" s="26"/>
      <c r="F194" s="26"/>
      <c r="G194" s="26"/>
      <c r="H194" s="26"/>
      <c r="I194" s="26"/>
      <c r="J194" s="19"/>
      <c r="K194" s="19"/>
      <c r="L194" s="19"/>
      <c r="M194" s="19"/>
      <c r="P194" s="26"/>
      <c r="Q194" s="26"/>
      <c r="R194" s="26"/>
      <c r="S194" s="26"/>
      <c r="T194" s="19"/>
      <c r="U194" s="19"/>
      <c r="AA194" s="26"/>
      <c r="AB194" s="26"/>
      <c r="AC194" s="26"/>
      <c r="AE194" s="26"/>
      <c r="AF194" s="26"/>
      <c r="AG194" s="26"/>
      <c r="AH194" s="26"/>
      <c r="AI194" s="26"/>
      <c r="AJ194" s="26"/>
      <c r="AK194" s="19"/>
      <c r="AL194" s="26"/>
      <c r="AM194" s="19"/>
      <c r="AN194" s="19"/>
      <c r="AO194" s="26"/>
      <c r="AP194" s="26"/>
      <c r="AQ194" s="26"/>
      <c r="AR194" s="19"/>
    </row>
    <row r="195" spans="3:44" ht="11.25" customHeight="1">
      <c r="C195" s="19"/>
      <c r="D195" s="19"/>
      <c r="E195" s="26"/>
      <c r="F195" s="26"/>
      <c r="G195" s="26"/>
      <c r="H195" s="26"/>
      <c r="I195" s="26"/>
      <c r="J195" s="19"/>
      <c r="K195" s="19"/>
      <c r="L195" s="19"/>
      <c r="M195" s="19"/>
      <c r="P195" s="26"/>
      <c r="Q195" s="26"/>
      <c r="R195" s="26"/>
      <c r="S195" s="26"/>
      <c r="T195" s="19"/>
      <c r="U195" s="19"/>
      <c r="AA195" s="26"/>
      <c r="AB195" s="26"/>
      <c r="AC195" s="26"/>
      <c r="AE195" s="26"/>
      <c r="AF195" s="26"/>
      <c r="AG195" s="26"/>
      <c r="AH195" s="26"/>
      <c r="AI195" s="26"/>
      <c r="AJ195" s="26"/>
      <c r="AK195" s="19"/>
      <c r="AL195" s="26"/>
      <c r="AM195" s="19"/>
      <c r="AN195" s="26"/>
      <c r="AO195" s="26"/>
      <c r="AP195" s="26"/>
      <c r="AQ195" s="26"/>
      <c r="AR195" s="26"/>
    </row>
    <row r="196" spans="3:44" ht="11.25" customHeight="1">
      <c r="C196" s="19"/>
      <c r="D196" s="19"/>
      <c r="E196" s="19"/>
      <c r="F196" s="26"/>
      <c r="G196" s="26"/>
      <c r="H196" s="26"/>
      <c r="I196" s="26"/>
      <c r="J196" s="19"/>
      <c r="K196" s="19"/>
      <c r="L196" s="19"/>
      <c r="M196" s="19"/>
      <c r="P196" s="26"/>
      <c r="Q196" s="26"/>
      <c r="R196" s="26"/>
      <c r="S196" s="26"/>
      <c r="T196" s="19"/>
      <c r="U196" s="19"/>
      <c r="AA196" s="26"/>
      <c r="AB196" s="26"/>
      <c r="AC196" s="26"/>
      <c r="AE196" s="26"/>
      <c r="AF196" s="26"/>
      <c r="AG196" s="26"/>
      <c r="AH196" s="26"/>
      <c r="AI196" s="26"/>
      <c r="AJ196" s="26"/>
      <c r="AK196" s="19"/>
      <c r="AL196" s="19"/>
      <c r="AM196" s="19"/>
      <c r="AN196" s="19"/>
      <c r="AO196" s="26"/>
      <c r="AP196" s="26"/>
      <c r="AQ196" s="26"/>
      <c r="AR196" s="19"/>
    </row>
    <row r="197" spans="3:44" ht="11.25" customHeight="1">
      <c r="C197" s="19"/>
      <c r="D197" s="19"/>
      <c r="E197" s="19"/>
      <c r="F197" s="26"/>
      <c r="G197" s="26"/>
      <c r="H197" s="26"/>
      <c r="I197" s="26"/>
      <c r="J197" s="19"/>
      <c r="K197" s="19"/>
      <c r="L197" s="19"/>
      <c r="M197" s="19"/>
      <c r="P197" s="26"/>
      <c r="Q197" s="26"/>
      <c r="R197" s="26"/>
      <c r="S197" s="26"/>
      <c r="T197" s="19"/>
      <c r="U197" s="19"/>
      <c r="AA197" s="26"/>
      <c r="AB197" s="26"/>
      <c r="AC197" s="26"/>
      <c r="AE197" s="26"/>
      <c r="AF197" s="26"/>
      <c r="AG197" s="26"/>
      <c r="AH197" s="26"/>
      <c r="AI197" s="19"/>
      <c r="AJ197" s="19"/>
      <c r="AK197" s="19"/>
      <c r="AL197" s="19"/>
      <c r="AM197" s="19"/>
      <c r="AN197" s="19"/>
      <c r="AO197" s="26"/>
      <c r="AP197" s="26"/>
      <c r="AQ197" s="26"/>
      <c r="AR197" s="19"/>
    </row>
    <row r="198" spans="3:44" ht="11.25" customHeight="1">
      <c r="C198" s="19"/>
      <c r="D198" s="19"/>
      <c r="E198" s="19"/>
      <c r="F198" s="26"/>
      <c r="G198" s="26"/>
      <c r="H198" s="26"/>
      <c r="I198" s="26"/>
      <c r="J198" s="19"/>
      <c r="K198" s="19"/>
      <c r="L198" s="19"/>
      <c r="M198" s="19"/>
      <c r="P198" s="26"/>
      <c r="Q198" s="26"/>
      <c r="R198" s="26"/>
      <c r="S198" s="26"/>
      <c r="T198" s="19"/>
      <c r="U198" s="19"/>
      <c r="AA198" s="26"/>
      <c r="AB198" s="26"/>
      <c r="AC198" s="26"/>
      <c r="AE198" s="26"/>
      <c r="AF198" s="26"/>
      <c r="AG198" s="26"/>
      <c r="AH198" s="26"/>
      <c r="AI198" s="19"/>
      <c r="AJ198" s="19"/>
      <c r="AK198" s="19"/>
      <c r="AL198" s="19"/>
      <c r="AM198" s="19"/>
      <c r="AN198" s="19"/>
      <c r="AO198" s="26"/>
      <c r="AP198" s="26"/>
      <c r="AQ198" s="26"/>
      <c r="AR198" s="19"/>
    </row>
    <row r="199" spans="3:44" ht="11.25" customHeight="1">
      <c r="C199" s="19"/>
      <c r="D199" s="19"/>
      <c r="E199" s="19"/>
      <c r="F199" s="26"/>
      <c r="G199" s="26"/>
      <c r="H199" s="26"/>
      <c r="I199" s="26"/>
      <c r="J199" s="19"/>
      <c r="K199" s="19"/>
      <c r="L199" s="19"/>
      <c r="M199" s="19"/>
      <c r="P199" s="26"/>
      <c r="Q199" s="26"/>
      <c r="R199" s="26"/>
      <c r="S199" s="26"/>
      <c r="T199" s="19"/>
      <c r="U199" s="19"/>
      <c r="AA199" s="26"/>
      <c r="AB199" s="26"/>
      <c r="AC199" s="26"/>
      <c r="AE199" s="26"/>
      <c r="AF199" s="26"/>
      <c r="AG199" s="26"/>
      <c r="AH199" s="26"/>
      <c r="AI199" s="19"/>
      <c r="AJ199" s="19"/>
      <c r="AK199" s="19"/>
      <c r="AL199" s="19"/>
      <c r="AM199" s="26"/>
      <c r="AN199" s="19"/>
      <c r="AO199" s="26"/>
      <c r="AP199" s="26"/>
      <c r="AQ199" s="26"/>
      <c r="AR199" s="26"/>
    </row>
    <row r="200" spans="3:44" ht="11.25" customHeight="1"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</row>
    <row r="201" spans="10:17" ht="11.25" customHeight="1">
      <c r="J201" s="19"/>
      <c r="K201" s="19"/>
      <c r="L201" s="19"/>
      <c r="M201" s="19"/>
      <c r="P201" s="26"/>
      <c r="Q201" s="26"/>
    </row>
    <row r="202" spans="5:44" ht="11.25" customHeight="1">
      <c r="E202" s="26"/>
      <c r="F202" s="26"/>
      <c r="G202" s="26"/>
      <c r="H202" s="26"/>
      <c r="I202" s="26"/>
      <c r="J202" s="19"/>
      <c r="K202" s="19"/>
      <c r="L202" s="19"/>
      <c r="M202" s="19"/>
      <c r="P202" s="26"/>
      <c r="Q202" s="26"/>
      <c r="R202" s="26"/>
      <c r="S202" s="26"/>
      <c r="AA202" s="26"/>
      <c r="AB202" s="26"/>
      <c r="AC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</row>
    <row r="203" spans="3:44" ht="11.25" customHeight="1">
      <c r="C203" s="26"/>
      <c r="D203" s="26"/>
      <c r="E203" s="26"/>
      <c r="F203" s="26"/>
      <c r="G203" s="26"/>
      <c r="H203" s="26"/>
      <c r="I203" s="26"/>
      <c r="J203" s="19"/>
      <c r="K203" s="19"/>
      <c r="L203" s="19"/>
      <c r="M203" s="19"/>
      <c r="P203" s="26"/>
      <c r="Q203" s="26"/>
      <c r="R203" s="26"/>
      <c r="S203" s="26"/>
      <c r="T203" s="26"/>
      <c r="U203" s="26"/>
      <c r="AA203" s="26"/>
      <c r="AB203" s="26"/>
      <c r="AC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</row>
    <row r="204" spans="3:44" ht="11.25" customHeight="1">
      <c r="C204" s="19"/>
      <c r="D204" s="19"/>
      <c r="E204" s="26"/>
      <c r="F204" s="26"/>
      <c r="G204" s="26"/>
      <c r="H204" s="26"/>
      <c r="I204" s="26"/>
      <c r="J204" s="19"/>
      <c r="K204" s="19"/>
      <c r="L204" s="19"/>
      <c r="M204" s="19"/>
      <c r="P204" s="26"/>
      <c r="Q204" s="26"/>
      <c r="R204" s="26"/>
      <c r="S204" s="26"/>
      <c r="T204" s="19"/>
      <c r="U204" s="19"/>
      <c r="AA204" s="26"/>
      <c r="AB204" s="26"/>
      <c r="AC204" s="26"/>
      <c r="AE204" s="26"/>
      <c r="AF204" s="19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</row>
    <row r="205" spans="3:44" ht="11.25" customHeight="1">
      <c r="C205" s="19"/>
      <c r="D205" s="19"/>
      <c r="E205" s="26"/>
      <c r="F205" s="26"/>
      <c r="G205" s="26"/>
      <c r="H205" s="26"/>
      <c r="I205" s="26"/>
      <c r="J205" s="19"/>
      <c r="K205" s="19"/>
      <c r="L205" s="19"/>
      <c r="M205" s="19"/>
      <c r="P205" s="26"/>
      <c r="Q205" s="26"/>
      <c r="R205" s="26"/>
      <c r="S205" s="26"/>
      <c r="T205" s="19"/>
      <c r="U205" s="19"/>
      <c r="AA205" s="26"/>
      <c r="AB205" s="26"/>
      <c r="AC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</row>
    <row r="206" spans="6:44" ht="11.25" customHeight="1">
      <c r="F206" s="26"/>
      <c r="G206" s="26"/>
      <c r="H206" s="26"/>
      <c r="I206" s="26"/>
      <c r="J206" s="19"/>
      <c r="K206" s="19"/>
      <c r="L206" s="19"/>
      <c r="M206" s="19"/>
      <c r="P206" s="26"/>
      <c r="Q206" s="26"/>
      <c r="R206" s="26"/>
      <c r="S206" s="26"/>
      <c r="AA206" s="26"/>
      <c r="AB206" s="26"/>
      <c r="AC206" s="26"/>
      <c r="AE206" s="26"/>
      <c r="AF206" s="26"/>
      <c r="AG206" s="26"/>
      <c r="AH206" s="26"/>
      <c r="AM206" s="26"/>
      <c r="AN206" s="26"/>
      <c r="AO206" s="26"/>
      <c r="AP206" s="26"/>
      <c r="AQ206" s="26"/>
      <c r="AR206" s="26"/>
    </row>
    <row r="207" spans="3:44" ht="11.25" customHeight="1">
      <c r="C207" s="19"/>
      <c r="D207" s="19"/>
      <c r="E207" s="26"/>
      <c r="F207" s="26"/>
      <c r="G207" s="26"/>
      <c r="H207" s="26"/>
      <c r="I207" s="26"/>
      <c r="J207" s="19"/>
      <c r="K207" s="19"/>
      <c r="L207" s="19"/>
      <c r="M207" s="19"/>
      <c r="P207" s="26"/>
      <c r="Q207" s="26"/>
      <c r="R207" s="26"/>
      <c r="S207" s="26"/>
      <c r="T207" s="19"/>
      <c r="U207" s="19"/>
      <c r="AA207" s="26"/>
      <c r="AB207" s="26"/>
      <c r="AC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</row>
    <row r="208" spans="3:44" ht="11.25" customHeight="1"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</row>
    <row r="209" spans="3:44" ht="11.25" customHeight="1">
      <c r="C209" s="26"/>
      <c r="D209" s="26"/>
      <c r="E209" s="26"/>
      <c r="F209" s="26"/>
      <c r="G209" s="26"/>
      <c r="H209" s="26"/>
      <c r="I209" s="26"/>
      <c r="J209" s="19"/>
      <c r="K209" s="19"/>
      <c r="L209" s="19"/>
      <c r="M209" s="19"/>
      <c r="P209" s="26"/>
      <c r="Q209" s="26"/>
      <c r="R209" s="26"/>
      <c r="S209" s="26"/>
      <c r="T209" s="26"/>
      <c r="U209" s="26"/>
      <c r="AA209" s="26"/>
      <c r="AB209" s="26"/>
      <c r="AC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</row>
    <row r="210" spans="3:44" ht="11.25" customHeight="1">
      <c r="C210" s="26"/>
      <c r="D210" s="26"/>
      <c r="E210" s="26"/>
      <c r="F210" s="26"/>
      <c r="G210" s="26"/>
      <c r="H210" s="26"/>
      <c r="I210" s="26"/>
      <c r="J210" s="19"/>
      <c r="K210" s="19"/>
      <c r="L210" s="19"/>
      <c r="M210" s="19"/>
      <c r="P210" s="26"/>
      <c r="Q210" s="26"/>
      <c r="R210" s="26"/>
      <c r="S210" s="26"/>
      <c r="T210" s="26"/>
      <c r="U210" s="26"/>
      <c r="AA210" s="26"/>
      <c r="AB210" s="26"/>
      <c r="AC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</row>
    <row r="211" spans="3:44" ht="11.25" customHeight="1"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</row>
    <row r="212" spans="10:17" ht="11.25" customHeight="1">
      <c r="J212" s="19"/>
      <c r="K212" s="19"/>
      <c r="L212" s="19"/>
      <c r="M212" s="19"/>
      <c r="P212" s="26"/>
      <c r="Q212" s="26"/>
    </row>
    <row r="213" spans="10:17" ht="11.25" customHeight="1">
      <c r="J213" s="19"/>
      <c r="K213" s="19"/>
      <c r="L213" s="19"/>
      <c r="M213" s="19"/>
      <c r="P213" s="26"/>
      <c r="Q213" s="26"/>
    </row>
    <row r="214" spans="3:44" ht="11.25" customHeight="1">
      <c r="C214" s="19"/>
      <c r="D214" s="19"/>
      <c r="E214" s="26"/>
      <c r="F214" s="26"/>
      <c r="G214" s="26"/>
      <c r="H214" s="26"/>
      <c r="I214" s="26"/>
      <c r="J214" s="19"/>
      <c r="K214" s="19"/>
      <c r="L214" s="19"/>
      <c r="M214" s="19"/>
      <c r="P214" s="26"/>
      <c r="Q214" s="26"/>
      <c r="R214" s="26"/>
      <c r="S214" s="26"/>
      <c r="T214" s="19"/>
      <c r="U214" s="19"/>
      <c r="AA214" s="26"/>
      <c r="AB214" s="26"/>
      <c r="AC214" s="26"/>
      <c r="AE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</row>
    <row r="215" spans="3:44" ht="11.25" customHeight="1">
      <c r="C215" s="19"/>
      <c r="D215" s="19"/>
      <c r="E215" s="26"/>
      <c r="F215" s="26"/>
      <c r="G215" s="26"/>
      <c r="H215" s="26"/>
      <c r="I215" s="26"/>
      <c r="J215" s="19"/>
      <c r="K215" s="19"/>
      <c r="L215" s="19"/>
      <c r="M215" s="19"/>
      <c r="P215" s="26"/>
      <c r="Q215" s="26"/>
      <c r="R215" s="26"/>
      <c r="S215" s="26"/>
      <c r="T215" s="19"/>
      <c r="U215" s="19"/>
      <c r="AA215" s="26"/>
      <c r="AB215" s="26"/>
      <c r="AC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</row>
    <row r="216" spans="3:44" ht="11.25" customHeight="1">
      <c r="C216" s="19"/>
      <c r="D216" s="19"/>
      <c r="E216" s="26"/>
      <c r="F216" s="26"/>
      <c r="G216" s="26"/>
      <c r="H216" s="26"/>
      <c r="I216" s="26"/>
      <c r="J216" s="19"/>
      <c r="K216" s="19"/>
      <c r="L216" s="19"/>
      <c r="M216" s="19"/>
      <c r="P216" s="26"/>
      <c r="Q216" s="26"/>
      <c r="R216" s="26"/>
      <c r="S216" s="26"/>
      <c r="T216" s="19"/>
      <c r="U216" s="19"/>
      <c r="AA216" s="26"/>
      <c r="AB216" s="26"/>
      <c r="AC216" s="26"/>
      <c r="AE216" s="26"/>
      <c r="AF216" s="26"/>
      <c r="AG216" s="26"/>
      <c r="AH216" s="26"/>
      <c r="AI216" s="19"/>
      <c r="AJ216" s="19"/>
      <c r="AK216" s="26"/>
      <c r="AL216" s="26"/>
      <c r="AM216" s="26"/>
      <c r="AN216" s="26"/>
      <c r="AO216" s="26"/>
      <c r="AP216" s="26"/>
      <c r="AQ216" s="26"/>
      <c r="AR216" s="26"/>
    </row>
    <row r="217" spans="4:44" ht="11.25" customHeight="1">
      <c r="D217" s="19"/>
      <c r="E217" s="26"/>
      <c r="F217" s="26"/>
      <c r="G217" s="26"/>
      <c r="H217" s="26"/>
      <c r="I217" s="26"/>
      <c r="J217" s="19"/>
      <c r="K217" s="19"/>
      <c r="L217" s="19"/>
      <c r="M217" s="19"/>
      <c r="P217" s="26"/>
      <c r="Q217" s="26"/>
      <c r="R217" s="26"/>
      <c r="S217" s="26"/>
      <c r="AA217" s="26"/>
      <c r="AB217" s="26"/>
      <c r="AC217" s="26"/>
      <c r="AE217" s="26"/>
      <c r="AG217" s="26"/>
      <c r="AH217" s="26"/>
      <c r="AI217" s="19"/>
      <c r="AJ217" s="19"/>
      <c r="AK217" s="26"/>
      <c r="AL217" s="26"/>
      <c r="AM217" s="26"/>
      <c r="AN217" s="26"/>
      <c r="AO217" s="26"/>
      <c r="AP217" s="26"/>
      <c r="AQ217" s="26"/>
      <c r="AR217" s="26"/>
    </row>
    <row r="218" spans="4:44" ht="11.25" customHeight="1">
      <c r="D218" s="19"/>
      <c r="E218" s="26"/>
      <c r="F218" s="26"/>
      <c r="G218" s="26"/>
      <c r="H218" s="26"/>
      <c r="I218" s="26"/>
      <c r="J218" s="19"/>
      <c r="K218" s="19"/>
      <c r="L218" s="19"/>
      <c r="M218" s="19"/>
      <c r="P218" s="26"/>
      <c r="Q218" s="26"/>
      <c r="R218" s="26"/>
      <c r="S218" s="26"/>
      <c r="AA218" s="26"/>
      <c r="AB218" s="26"/>
      <c r="AC218" s="26"/>
      <c r="AE218" s="26"/>
      <c r="AF218" s="26"/>
      <c r="AG218" s="26"/>
      <c r="AH218" s="26"/>
      <c r="AI218" s="19"/>
      <c r="AJ218" s="19"/>
      <c r="AK218" s="19"/>
      <c r="AL218" s="26"/>
      <c r="AM218" s="26"/>
      <c r="AN218" s="26"/>
      <c r="AO218" s="26"/>
      <c r="AP218" s="26"/>
      <c r="AQ218" s="26"/>
      <c r="AR218" s="26"/>
    </row>
    <row r="219" spans="5:44" ht="11.25" customHeight="1">
      <c r="E219" s="19"/>
      <c r="F219" s="26"/>
      <c r="G219" s="26"/>
      <c r="H219" s="26"/>
      <c r="I219" s="26"/>
      <c r="J219" s="19"/>
      <c r="K219" s="19"/>
      <c r="L219" s="19"/>
      <c r="M219" s="19"/>
      <c r="P219" s="26"/>
      <c r="Q219" s="26"/>
      <c r="R219" s="26"/>
      <c r="S219" s="26"/>
      <c r="AA219" s="26"/>
      <c r="AB219" s="26"/>
      <c r="AC219" s="26"/>
      <c r="AE219" s="26"/>
      <c r="AF219" s="26"/>
      <c r="AG219" s="26"/>
      <c r="AH219" s="26"/>
      <c r="AI219" s="19"/>
      <c r="AJ219" s="19"/>
      <c r="AK219" s="19"/>
      <c r="AL219" s="19"/>
      <c r="AM219" s="26"/>
      <c r="AN219" s="26"/>
      <c r="AO219" s="26"/>
      <c r="AP219" s="26"/>
      <c r="AQ219" s="26"/>
      <c r="AR219" s="26"/>
    </row>
    <row r="220" spans="5:44" ht="11.25" customHeight="1">
      <c r="E220" s="19"/>
      <c r="F220" s="26"/>
      <c r="G220" s="26"/>
      <c r="H220" s="26"/>
      <c r="I220" s="26"/>
      <c r="J220" s="19"/>
      <c r="K220" s="19"/>
      <c r="L220" s="19"/>
      <c r="M220" s="19"/>
      <c r="P220" s="26"/>
      <c r="Q220" s="26"/>
      <c r="R220" s="26"/>
      <c r="S220" s="26"/>
      <c r="AA220" s="26"/>
      <c r="AB220" s="26"/>
      <c r="AC220" s="26"/>
      <c r="AE220" s="26"/>
      <c r="AF220" s="26"/>
      <c r="AG220" s="26"/>
      <c r="AH220" s="26"/>
      <c r="AI220" s="19"/>
      <c r="AJ220" s="19"/>
      <c r="AK220" s="19"/>
      <c r="AL220" s="19"/>
      <c r="AM220" s="26"/>
      <c r="AN220" s="26"/>
      <c r="AO220" s="26"/>
      <c r="AP220" s="26"/>
      <c r="AQ220" s="26"/>
      <c r="AR220" s="26"/>
    </row>
    <row r="221" spans="3:44" ht="11.25" customHeight="1"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</row>
    <row r="222" spans="3:44" ht="11.25" customHeight="1">
      <c r="C222" s="26"/>
      <c r="D222" s="26"/>
      <c r="E222" s="26"/>
      <c r="F222" s="26"/>
      <c r="G222" s="26"/>
      <c r="H222" s="26"/>
      <c r="I222" s="26"/>
      <c r="J222" s="19"/>
      <c r="K222" s="19"/>
      <c r="L222" s="19"/>
      <c r="M222" s="19"/>
      <c r="P222" s="26"/>
      <c r="Q222" s="26"/>
      <c r="R222" s="26"/>
      <c r="S222" s="26"/>
      <c r="T222" s="26"/>
      <c r="U222" s="26"/>
      <c r="AA222" s="26"/>
      <c r="AB222" s="26"/>
      <c r="AC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</row>
    <row r="223" spans="3:44" ht="11.25" customHeight="1"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</row>
    <row r="224" spans="10:17" ht="11.25" customHeight="1">
      <c r="J224" s="19"/>
      <c r="K224" s="19"/>
      <c r="L224" s="19"/>
      <c r="M224" s="19"/>
      <c r="P224" s="26"/>
      <c r="Q224" s="26"/>
    </row>
    <row r="225" spans="3:44" ht="11.25" customHeight="1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P225" s="26"/>
      <c r="Q225" s="26"/>
      <c r="R225" s="19"/>
      <c r="S225" s="19"/>
      <c r="T225" s="19"/>
      <c r="U225" s="19"/>
      <c r="AA225" s="19"/>
      <c r="AB225" s="19"/>
      <c r="AC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</row>
    <row r="226" spans="10:17" ht="11.25" customHeight="1">
      <c r="J226" s="19"/>
      <c r="K226" s="19"/>
      <c r="L226" s="19"/>
      <c r="M226" s="19"/>
      <c r="P226" s="26"/>
      <c r="Q226" s="26"/>
    </row>
    <row r="227" spans="3:44" ht="11.25" customHeight="1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22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</row>
    <row r="229" spans="3:44" ht="11.25" customHeight="1">
      <c r="C229" s="22">
        <f aca="true" t="shared" si="27" ref="C229:I229">+C117-C186</f>
        <v>0</v>
      </c>
      <c r="D229" s="22">
        <f t="shared" si="27"/>
        <v>0</v>
      </c>
      <c r="E229" s="22">
        <f t="shared" si="27"/>
        <v>0</v>
      </c>
      <c r="F229" s="22">
        <f t="shared" si="27"/>
        <v>0</v>
      </c>
      <c r="G229" s="22">
        <f t="shared" si="27"/>
        <v>0</v>
      </c>
      <c r="H229" s="22">
        <f t="shared" si="27"/>
        <v>0</v>
      </c>
      <c r="I229" s="22">
        <f t="shared" si="27"/>
        <v>0</v>
      </c>
      <c r="J229" s="22"/>
      <c r="K229" s="22"/>
      <c r="L229" s="22"/>
      <c r="M229" s="22"/>
      <c r="N229" s="22"/>
      <c r="O229" s="22"/>
      <c r="P229" s="22">
        <f aca="true" t="shared" si="28" ref="P229:U229">+P117-P186</f>
        <v>0</v>
      </c>
      <c r="Q229" s="22">
        <f t="shared" si="28"/>
        <v>0</v>
      </c>
      <c r="R229" s="22">
        <f t="shared" si="28"/>
        <v>0</v>
      </c>
      <c r="S229" s="22">
        <f t="shared" si="28"/>
        <v>0</v>
      </c>
      <c r="T229" s="22">
        <f t="shared" si="28"/>
        <v>0</v>
      </c>
      <c r="U229" s="22">
        <f t="shared" si="28"/>
        <v>0</v>
      </c>
      <c r="V229" s="22"/>
      <c r="W229" s="22"/>
      <c r="X229" s="22"/>
      <c r="Y229" s="22"/>
      <c r="Z229" s="22"/>
      <c r="AA229" s="22">
        <f>+AA117-AA186</f>
        <v>0</v>
      </c>
      <c r="AB229" s="22">
        <f>+AB117-AB186</f>
        <v>0</v>
      </c>
      <c r="AC229" s="22">
        <f>+AC117-AC186</f>
        <v>0</v>
      </c>
      <c r="AD229" s="22"/>
      <c r="AE229" s="22">
        <f aca="true" t="shared" si="29" ref="AE229:AR229">+AE117-AE186</f>
        <v>0</v>
      </c>
      <c r="AF229" s="22">
        <f t="shared" si="29"/>
        <v>0</v>
      </c>
      <c r="AG229" s="22">
        <f t="shared" si="29"/>
        <v>0</v>
      </c>
      <c r="AH229" s="22">
        <f t="shared" si="29"/>
        <v>0</v>
      </c>
      <c r="AI229" s="22">
        <f t="shared" si="29"/>
        <v>0</v>
      </c>
      <c r="AJ229" s="22">
        <f t="shared" si="29"/>
        <v>0</v>
      </c>
      <c r="AK229" s="22">
        <f t="shared" si="29"/>
        <v>0</v>
      </c>
      <c r="AL229" s="22">
        <f t="shared" si="29"/>
        <v>0</v>
      </c>
      <c r="AM229" s="22">
        <f t="shared" si="29"/>
        <v>0</v>
      </c>
      <c r="AN229" s="22">
        <f t="shared" si="29"/>
        <v>0</v>
      </c>
      <c r="AO229" s="22">
        <f t="shared" si="29"/>
        <v>0</v>
      </c>
      <c r="AP229" s="22">
        <f t="shared" si="29"/>
        <v>0</v>
      </c>
      <c r="AQ229" s="22">
        <f t="shared" si="29"/>
        <v>0</v>
      </c>
      <c r="AR229" s="22">
        <f t="shared" si="29"/>
        <v>0</v>
      </c>
    </row>
    <row r="230" spans="3:44" ht="11.25" customHeight="1">
      <c r="C230" s="22">
        <f aca="true" t="shared" si="30" ref="C230:I230">+C227-C163</f>
        <v>0</v>
      </c>
      <c r="D230" s="22">
        <f t="shared" si="30"/>
        <v>0</v>
      </c>
      <c r="E230" s="22">
        <f t="shared" si="30"/>
        <v>0</v>
      </c>
      <c r="F230" s="22">
        <f t="shared" si="30"/>
        <v>0</v>
      </c>
      <c r="G230" s="22">
        <f t="shared" si="30"/>
        <v>0</v>
      </c>
      <c r="H230" s="22">
        <f t="shared" si="30"/>
        <v>0</v>
      </c>
      <c r="I230" s="22">
        <f t="shared" si="30"/>
        <v>0</v>
      </c>
      <c r="J230" s="58"/>
      <c r="K230" s="58"/>
      <c r="L230" s="58"/>
      <c r="M230" s="58"/>
      <c r="N230" s="58"/>
      <c r="O230" s="58"/>
      <c r="P230" s="22">
        <f aca="true" t="shared" si="31" ref="P230:U230">+P227-P163</f>
        <v>0</v>
      </c>
      <c r="Q230" s="22">
        <f t="shared" si="31"/>
        <v>0</v>
      </c>
      <c r="R230" s="22">
        <f t="shared" si="31"/>
        <v>0</v>
      </c>
      <c r="S230" s="22">
        <f t="shared" si="31"/>
        <v>0</v>
      </c>
      <c r="T230" s="22">
        <f t="shared" si="31"/>
        <v>0</v>
      </c>
      <c r="U230" s="22">
        <f t="shared" si="31"/>
        <v>0</v>
      </c>
      <c r="V230" s="58"/>
      <c r="W230" s="58"/>
      <c r="X230" s="58"/>
      <c r="Y230" s="58"/>
      <c r="Z230" s="58"/>
      <c r="AA230" s="22">
        <f>+AA227-AA163</f>
        <v>0</v>
      </c>
      <c r="AB230" s="22">
        <f>+AB227-AB163</f>
        <v>0</v>
      </c>
      <c r="AC230" s="22">
        <f>+AC227-AC163</f>
        <v>0</v>
      </c>
      <c r="AD230" s="58"/>
      <c r="AE230" s="22">
        <f aca="true" t="shared" si="32" ref="AE230:AR230">+AE227-AE163</f>
        <v>0</v>
      </c>
      <c r="AF230" s="22">
        <f t="shared" si="32"/>
        <v>0</v>
      </c>
      <c r="AG230" s="22">
        <f t="shared" si="32"/>
        <v>0</v>
      </c>
      <c r="AH230" s="22">
        <f>+AH227-AH163</f>
        <v>0</v>
      </c>
      <c r="AI230" s="22">
        <f>+AI227-AI163</f>
        <v>0</v>
      </c>
      <c r="AJ230" s="22">
        <f>+AJ227-AJ163</f>
        <v>0</v>
      </c>
      <c r="AK230" s="22">
        <f>+AK227-AK163</f>
        <v>0</v>
      </c>
      <c r="AL230" s="22">
        <f t="shared" si="32"/>
        <v>0</v>
      </c>
      <c r="AM230" s="22">
        <f t="shared" si="32"/>
        <v>0</v>
      </c>
      <c r="AN230" s="22">
        <f t="shared" si="32"/>
        <v>0</v>
      </c>
      <c r="AO230" s="22">
        <f>+AO227-AO163</f>
        <v>0</v>
      </c>
      <c r="AP230" s="22">
        <f t="shared" si="32"/>
        <v>0</v>
      </c>
      <c r="AQ230" s="22">
        <f t="shared" si="32"/>
        <v>0</v>
      </c>
      <c r="AR230" s="22">
        <f t="shared" si="32"/>
        <v>0</v>
      </c>
    </row>
  </sheetData>
  <sheetProtection/>
  <mergeCells count="28">
    <mergeCell ref="T1:U1"/>
    <mergeCell ref="C1:E1"/>
    <mergeCell ref="V1:Z1"/>
    <mergeCell ref="J1:O1"/>
    <mergeCell ref="C4:E4"/>
    <mergeCell ref="AL4:AN4"/>
    <mergeCell ref="G4:I4"/>
    <mergeCell ref="P1:S1"/>
    <mergeCell ref="AA1:AC1"/>
    <mergeCell ref="G1:I1"/>
    <mergeCell ref="AF4:AG4"/>
    <mergeCell ref="F1:F3"/>
    <mergeCell ref="AP4:AQ4"/>
    <mergeCell ref="J4:O4"/>
    <mergeCell ref="V4:Z4"/>
    <mergeCell ref="P4:S4"/>
    <mergeCell ref="AA4:AC4"/>
    <mergeCell ref="AH4:AK4"/>
    <mergeCell ref="T4:U4"/>
    <mergeCell ref="AD1:AD3"/>
    <mergeCell ref="AE1:AE3"/>
    <mergeCell ref="AT1:AT3"/>
    <mergeCell ref="AH1:AK1"/>
    <mergeCell ref="AP1:AQ1"/>
    <mergeCell ref="AR1:AR3"/>
    <mergeCell ref="AO1:AO3"/>
    <mergeCell ref="AL1:AN1"/>
    <mergeCell ref="AF1:AG1"/>
  </mergeCells>
  <printOptions/>
  <pageMargins left="0.4724409448818898" right="0.2755905511811024" top="0.984251968503937" bottom="0" header="0.2362204724409449" footer="0.11811023622047245"/>
  <pageSetup firstPageNumber="46" useFirstPageNumber="1" horizontalDpi="600" verticalDpi="600" orientation="portrait" paperSize="9" r:id="rId1"/>
  <headerFooter alignWithMargins="0">
    <oddHeader>&amp;C&amp;"Times New Roman,Bold"&amp;12 5.1. SÉREIGNARDEILDIR
YFIRLIT, EFNAHAGSREIKNINGAR OG SJÓÐSTREYMI ÁRIÐ 2007</oddHeader>
    <oddFooter>&amp;R&amp;"Times New Roman,Regular"&amp;P</oddFooter>
  </headerFooter>
  <colBreaks count="2" manualBreakCount="2">
    <brk id="15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Heiða Björk Jósefsdóttir</dc:creator>
  <cp:keywords/>
  <dc:description/>
  <cp:lastModifiedBy>Arnar Jón Sigurgeirsson</cp:lastModifiedBy>
  <cp:lastPrinted>2008-08-25T08:47:55Z</cp:lastPrinted>
  <dcterms:created xsi:type="dcterms:W3CDTF">2007-07-24T18:31:15Z</dcterms:created>
  <dcterms:modified xsi:type="dcterms:W3CDTF">2012-03-16T14:27:27Z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DF7FBC77_248E_4CCF_B39E_D3870A75D80C">
    <vt:lpwstr>0</vt:lpwstr>
  </property>
</Properties>
</file>