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0" windowWidth="10695" windowHeight="6225" tabRatio="866" firstSheet="6" activeTab="6"/>
  </bookViews>
  <sheets>
    <sheet name="3.1 Efnah." sheetId="1" r:id="rId1"/>
    <sheet name="3.2 Yfirlit" sheetId="2" r:id="rId2"/>
    <sheet name="Séreignadeildir" sheetId="3" r:id="rId3"/>
    <sheet name="3.3 Sjóðst." sheetId="4" r:id="rId4"/>
    <sheet name="3.4 Kennit." sheetId="5" r:id="rId5"/>
    <sheet name="3.5 Aðrar fjárf." sheetId="6" r:id="rId6"/>
    <sheet name="3.6. Listi" sheetId="7" r:id="rId7"/>
    <sheet name="3.7. Kerfi" sheetId="8" r:id="rId8"/>
  </sheets>
  <definedNames>
    <definedName name="_xlnm.Print_Area" localSheetId="0">'3.1 Efnah.'!$A$1:$BO$65</definedName>
    <definedName name="_xlnm.Print_Area" localSheetId="1">'3.2 Yfirlit'!$A$1:$BP$68</definedName>
    <definedName name="_xlnm.Print_Area" localSheetId="3">'3.3 Sjóðst.'!$A$1:$BP$42</definedName>
    <definedName name="_xlnm.Print_Area" localSheetId="4">'3.4 Kennit.'!$A$1:$BP$53</definedName>
    <definedName name="_xlnm.Print_Area" localSheetId="5">'3.5 Aðrar fjárf.'!$A$1:$BP$58</definedName>
    <definedName name="_xlnm.Print_Area" localSheetId="6">'3.6. Listi'!$A$1:$I$108</definedName>
    <definedName name="_xlnm.Print_Titles" localSheetId="0">'3.1 Efnah.'!$A:$A</definedName>
    <definedName name="_xlnm.Print_Titles" localSheetId="1">'3.2 Yfirlit'!$A:$A</definedName>
    <definedName name="_xlnm.Print_Titles" localSheetId="3">'3.3 Sjóðst.'!$A:$A</definedName>
    <definedName name="_xlnm.Print_Titles" localSheetId="4">'3.4 Kennit.'!$A:$B</definedName>
    <definedName name="_xlnm.Print_Titles" localSheetId="5">'3.5 Aðrar fjárf.'!$A:$A</definedName>
  </definedNames>
  <calcPr fullCalcOnLoad="1"/>
</workbook>
</file>

<file path=xl/sharedStrings.xml><?xml version="1.0" encoding="utf-8"?>
<sst xmlns="http://schemas.openxmlformats.org/spreadsheetml/2006/main" count="2194" uniqueCount="611">
  <si>
    <t>Lífeyrissj.</t>
  </si>
  <si>
    <t>Sameinaði</t>
  </si>
  <si>
    <t>Söfnunarsj.</t>
  </si>
  <si>
    <t>Samvinnu-</t>
  </si>
  <si>
    <t>Eftirlaunasj.</t>
  </si>
  <si>
    <t xml:space="preserve">Frjálsi </t>
  </si>
  <si>
    <t>Lífeyris-</t>
  </si>
  <si>
    <t>Almennur</t>
  </si>
  <si>
    <t xml:space="preserve">Íslenski </t>
  </si>
  <si>
    <t>Trygginga-</t>
  </si>
  <si>
    <t xml:space="preserve">ALLIR   </t>
  </si>
  <si>
    <t>Fjárhæðir í þús. kr.</t>
  </si>
  <si>
    <t>verslunar-</t>
  </si>
  <si>
    <t>sjómanna</t>
  </si>
  <si>
    <t>starfsm.</t>
  </si>
  <si>
    <t>lífeyris-</t>
  </si>
  <si>
    <t>Framsýn</t>
  </si>
  <si>
    <t>Norður-</t>
  </si>
  <si>
    <t xml:space="preserve">bænda </t>
  </si>
  <si>
    <t>Austur-</t>
  </si>
  <si>
    <t xml:space="preserve">Vest- </t>
  </si>
  <si>
    <t>Suður-</t>
  </si>
  <si>
    <t xml:space="preserve">lækna </t>
  </si>
  <si>
    <t>Vestmanna-</t>
  </si>
  <si>
    <t>Vestur-</t>
  </si>
  <si>
    <t>hjúkrunar-</t>
  </si>
  <si>
    <t>verkalfél.</t>
  </si>
  <si>
    <t xml:space="preserve">K.E.A. </t>
  </si>
  <si>
    <t>Eimskipa-</t>
  </si>
  <si>
    <t>sjóðurinn</t>
  </si>
  <si>
    <t>lífeyrissj.</t>
  </si>
  <si>
    <t>Flugvirkjaf.</t>
  </si>
  <si>
    <t>Bolungar-</t>
  </si>
  <si>
    <t>Rangæinga</t>
  </si>
  <si>
    <t>slökkvilm. á</t>
  </si>
  <si>
    <t>blaða-</t>
  </si>
  <si>
    <t>Mjólkur-</t>
  </si>
  <si>
    <t>stm. Kópa-</t>
  </si>
  <si>
    <t>Hafnarfj-</t>
  </si>
  <si>
    <t>stm. Akur-</t>
  </si>
  <si>
    <t>Tannl.fél.</t>
  </si>
  <si>
    <t>verkafólks í</t>
  </si>
  <si>
    <t>Sláturfélags</t>
  </si>
  <si>
    <t>Akranes-</t>
  </si>
  <si>
    <t>stm. Olíu-</t>
  </si>
  <si>
    <t>stm. Húsa-</t>
  </si>
  <si>
    <t>leigubifr.-</t>
  </si>
  <si>
    <t xml:space="preserve">starfsm. </t>
  </si>
  <si>
    <t>Neskaup-</t>
  </si>
  <si>
    <t>sjóður</t>
  </si>
  <si>
    <t>stm. Vestm-</t>
  </si>
  <si>
    <t>stm. Sjóvá-</t>
  </si>
  <si>
    <t>stm. Rvík.-</t>
  </si>
  <si>
    <t>LÍFEYRISSJ.</t>
  </si>
  <si>
    <t>Séreigna-</t>
  </si>
  <si>
    <t xml:space="preserve">manna  </t>
  </si>
  <si>
    <t>réttinda</t>
  </si>
  <si>
    <t xml:space="preserve">lands </t>
  </si>
  <si>
    <t>firðinga</t>
  </si>
  <si>
    <t xml:space="preserve">nesja </t>
  </si>
  <si>
    <t xml:space="preserve">Íslands </t>
  </si>
  <si>
    <t>Norðurl. v</t>
  </si>
  <si>
    <t>Reykjavb.</t>
  </si>
  <si>
    <t>félags Ísl.</t>
  </si>
  <si>
    <t>Íslandsb. hf.</t>
  </si>
  <si>
    <t>Hlíf</t>
  </si>
  <si>
    <t xml:space="preserve">VÍB   </t>
  </si>
  <si>
    <t>Íslands</t>
  </si>
  <si>
    <t>víkur</t>
  </si>
  <si>
    <t>Keflavflugv.</t>
  </si>
  <si>
    <t>manna</t>
  </si>
  <si>
    <t>samsöl.</t>
  </si>
  <si>
    <t>vogskaupst.</t>
  </si>
  <si>
    <t>kaupst.</t>
  </si>
  <si>
    <t>eyrarbæjar</t>
  </si>
  <si>
    <t>Grindavík</t>
  </si>
  <si>
    <t>Suðurlands</t>
  </si>
  <si>
    <t>versl. Ísl.</t>
  </si>
  <si>
    <t xml:space="preserve">sjóðurinn </t>
  </si>
  <si>
    <t>Áburðarv.</t>
  </si>
  <si>
    <t>Skjöldur</t>
  </si>
  <si>
    <t xml:space="preserve">bæjar  </t>
  </si>
  <si>
    <t>Eining</t>
  </si>
  <si>
    <t>víkurbæjar</t>
  </si>
  <si>
    <t xml:space="preserve">stjóra  </t>
  </si>
  <si>
    <t>Útvegsb. Ísl.</t>
  </si>
  <si>
    <t xml:space="preserve">staðar </t>
  </si>
  <si>
    <t>lækna</t>
  </si>
  <si>
    <t>eyjabæjar</t>
  </si>
  <si>
    <t>tryggfél.Ísl.</t>
  </si>
  <si>
    <t xml:space="preserve">apóteks </t>
  </si>
  <si>
    <t xml:space="preserve">SAMTALS  </t>
  </si>
  <si>
    <t xml:space="preserve">      (1)</t>
  </si>
  <si>
    <t>(2)</t>
  </si>
  <si>
    <t>(3)</t>
  </si>
  <si>
    <t>(4)</t>
  </si>
  <si>
    <t>(5)</t>
  </si>
  <si>
    <t>(6)</t>
  </si>
  <si>
    <t>(7)</t>
  </si>
  <si>
    <t>(8)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</si>
  <si>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</si>
  <si>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</si>
  <si>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</si>
  <si>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</si>
  <si>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</si>
  <si>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</si>
  <si>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</si>
  <si>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</si>
  <si>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</si>
  <si>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</si>
  <si>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</si>
  <si>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</si>
  <si>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</si>
  <si>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</si>
  <si>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(27)</t>
  </si>
  <si>
    <t>(28)</t>
  </si>
  <si>
    <t>(29)</t>
  </si>
  <si>
    <t>(30)</t>
  </si>
  <si>
    <t>(31)</t>
  </si>
  <si>
    <t>(32)</t>
  </si>
  <si>
    <t>(33)</t>
  </si>
  <si>
    <t>(34)</t>
  </si>
  <si>
    <t>(35)</t>
  </si>
  <si>
    <t>(36)</t>
  </si>
  <si>
    <t>(37)</t>
  </si>
  <si>
    <t>(38)</t>
  </si>
  <si>
    <t>(39)</t>
  </si>
  <si>
    <t>(40)</t>
  </si>
  <si>
    <t>(41)</t>
  </si>
  <si>
    <t>(42)</t>
  </si>
  <si>
    <t>(43)</t>
  </si>
  <si>
    <t>(44)</t>
  </si>
  <si>
    <t>(45)</t>
  </si>
  <si>
    <t>(46)</t>
  </si>
  <si>
    <t>(47)</t>
  </si>
  <si>
    <t>(48)</t>
  </si>
  <si>
    <t>(49)</t>
  </si>
  <si>
    <t>(50)</t>
  </si>
  <si>
    <t>(51)</t>
  </si>
  <si>
    <t>(52)</t>
  </si>
  <si>
    <t>(54)</t>
  </si>
  <si>
    <t>(55)</t>
  </si>
  <si>
    <t>(56)</t>
  </si>
  <si>
    <t>(57)</t>
  </si>
  <si>
    <t>(58)</t>
  </si>
  <si>
    <t xml:space="preserve">HREIN EIGN TIL </t>
  </si>
  <si>
    <t>GREIÐSLU LÍFEYRIS</t>
  </si>
  <si>
    <t xml:space="preserve"> </t>
  </si>
  <si>
    <t>Hrein raunávöxtun</t>
  </si>
  <si>
    <t>Fjöldi sjóðfélaga</t>
  </si>
  <si>
    <t>Fjöldi lífeyrisþega</t>
  </si>
  <si>
    <t>Ellilífeyrir  (%)</t>
  </si>
  <si>
    <t>Örorkulífeyrir  (%)</t>
  </si>
  <si>
    <t>Makalífeyrir  (%)</t>
  </si>
  <si>
    <t>Barnalífeyrir  (%)</t>
  </si>
  <si>
    <t>Ýmsar athugasemdir:</t>
  </si>
  <si>
    <t>Skýringar á kennitölum:</t>
  </si>
  <si>
    <t>Lífeyrir í þús.kr.</t>
  </si>
  <si>
    <t>Ellilífeyrir í þús.kr.</t>
  </si>
  <si>
    <t>Örorkulífeyrir í þús.kr.</t>
  </si>
  <si>
    <t>Makalífeyrir í þús.kr.</t>
  </si>
  <si>
    <t>Barnalífeyrir í þús.kr.</t>
  </si>
  <si>
    <t xml:space="preserve">       Samtals</t>
  </si>
  <si>
    <t xml:space="preserve">   Bankar og sparisjóðir</t>
  </si>
  <si>
    <t xml:space="preserve">   Fjárfestingarlánasjóðir</t>
  </si>
  <si>
    <t xml:space="preserve">       þ.a. húsbréf</t>
  </si>
  <si>
    <t xml:space="preserve">       þ.a. húsnæðisbréf</t>
  </si>
  <si>
    <t xml:space="preserve">   Eignarleigur</t>
  </si>
  <si>
    <t xml:space="preserve">   Fyrirtæki</t>
  </si>
  <si>
    <t xml:space="preserve">   Bæjar- og sveitarfélög</t>
  </si>
  <si>
    <t xml:space="preserve">       þ.a. Húsnæðisstofnun</t>
  </si>
  <si>
    <t xml:space="preserve">   Aðrar lánastofnanir</t>
  </si>
  <si>
    <t>Meðalstaða eigna við útreikn.</t>
  </si>
  <si>
    <t xml:space="preserve"> á ávöxtun</t>
  </si>
  <si>
    <t>Aukning</t>
  </si>
  <si>
    <t>þús.kr.</t>
  </si>
  <si>
    <t>%</t>
  </si>
  <si>
    <t>1.</t>
  </si>
  <si>
    <t>Lífeyrissjóður verslunarmanna</t>
  </si>
  <si>
    <t>2.</t>
  </si>
  <si>
    <t>Lífeyrissjóður sjómanna</t>
  </si>
  <si>
    <t>3.</t>
  </si>
  <si>
    <t>1)</t>
  </si>
  <si>
    <t>4.</t>
  </si>
  <si>
    <t>Sameinaði lífeyrissjóðurinn</t>
  </si>
  <si>
    <t>5.</t>
  </si>
  <si>
    <t>2)</t>
  </si>
  <si>
    <t>6.</t>
  </si>
  <si>
    <t>Söfnunarsjóður lífeyrisréttinda</t>
  </si>
  <si>
    <t>7.</t>
  </si>
  <si>
    <t>Lífeyrissjóður Norðurlands</t>
  </si>
  <si>
    <t>8.</t>
  </si>
  <si>
    <t>Samvinnulífeyrissjóðurinn</t>
  </si>
  <si>
    <t>9.</t>
  </si>
  <si>
    <t>Lífeyrissjóður bænda</t>
  </si>
  <si>
    <t>10.</t>
  </si>
  <si>
    <t>Lífeyrissjóður Austurlands</t>
  </si>
  <si>
    <t>11.</t>
  </si>
  <si>
    <t>Lífeyrissjóður Vestfirðinga</t>
  </si>
  <si>
    <t>12.</t>
  </si>
  <si>
    <t>13.</t>
  </si>
  <si>
    <t>14.</t>
  </si>
  <si>
    <t>Lífeyrissjóður Suðurnesja</t>
  </si>
  <si>
    <t>15.</t>
  </si>
  <si>
    <t>Lífeyrissjóður lækna</t>
  </si>
  <si>
    <t>16.</t>
  </si>
  <si>
    <t>17.</t>
  </si>
  <si>
    <t>18.</t>
  </si>
  <si>
    <t>19.</t>
  </si>
  <si>
    <t>20.</t>
  </si>
  <si>
    <t>Lífeyrissjóður Vesturlands</t>
  </si>
  <si>
    <t>21.</t>
  </si>
  <si>
    <t>22.</t>
  </si>
  <si>
    <t>23.</t>
  </si>
  <si>
    <t>24.</t>
  </si>
  <si>
    <t>25.</t>
  </si>
  <si>
    <t>Frjálsi lífeyrissjóðurinn</t>
  </si>
  <si>
    <t>3)</t>
  </si>
  <si>
    <t>26.</t>
  </si>
  <si>
    <t>27.</t>
  </si>
  <si>
    <t>28.</t>
  </si>
  <si>
    <t>Lífeyrissjóður K.E.A.</t>
  </si>
  <si>
    <t>29.</t>
  </si>
  <si>
    <t>Lífeyrissjóður verkalýðsfél. á Norðurl. vestra</t>
  </si>
  <si>
    <t>30.</t>
  </si>
  <si>
    <t>Lífeyrissjóður starfsmanna Reykjavíkurborgar</t>
  </si>
  <si>
    <t>31.</t>
  </si>
  <si>
    <t>32.</t>
  </si>
  <si>
    <t>Lífeyrissjóður Eimskipafélags Íslands hf.</t>
  </si>
  <si>
    <t>33.</t>
  </si>
  <si>
    <t>Eftirlaunasj. starfsmanna Íslandsbanka hf.</t>
  </si>
  <si>
    <t>34.</t>
  </si>
  <si>
    <t>Lífeyrissjóðurinn Hlíf</t>
  </si>
  <si>
    <t>35.</t>
  </si>
  <si>
    <t>36.</t>
  </si>
  <si>
    <t>Almennur lífeyrissjóður VÍB</t>
  </si>
  <si>
    <t>37.</t>
  </si>
  <si>
    <t>Lífeyrissjóður Flugvirkjafélags Íslands</t>
  </si>
  <si>
    <t>38.</t>
  </si>
  <si>
    <t>39.</t>
  </si>
  <si>
    <t>Lífeyrissjóður Bolungarvíkur</t>
  </si>
  <si>
    <t>40.</t>
  </si>
  <si>
    <t>41.</t>
  </si>
  <si>
    <t>Lífeyrissjóður Rangæinga</t>
  </si>
  <si>
    <t>42.</t>
  </si>
  <si>
    <t>Eftirlaunasj. slökkviliðsmanna á Keflavíkurfl.v.</t>
  </si>
  <si>
    <t>Skýringar:</t>
  </si>
  <si>
    <t>43.</t>
  </si>
  <si>
    <t>Lífeyrissjóður blaðamanna</t>
  </si>
  <si>
    <t>44.</t>
  </si>
  <si>
    <t>45.</t>
  </si>
  <si>
    <t>Lífeyrissjóður starfsm. Kópavogskaupstaðar</t>
  </si>
  <si>
    <t>46.</t>
  </si>
  <si>
    <t>47.</t>
  </si>
  <si>
    <t>Lífeyrissjóður starfsm. Akureyrarbæjar</t>
  </si>
  <si>
    <t>48.</t>
  </si>
  <si>
    <t>49.</t>
  </si>
  <si>
    <t>Lífeyrissjóður Tannlæknafélags Íslands</t>
  </si>
  <si>
    <t>50.</t>
  </si>
  <si>
    <t>Lífeyrissjóður verkafólks í Grindavík</t>
  </si>
  <si>
    <t>51.</t>
  </si>
  <si>
    <t>Eftirlaunasjóður Sláturf. Suðurlands</t>
  </si>
  <si>
    <t>52.</t>
  </si>
  <si>
    <t>Lífeyrissjóður Akraneskaupstaðar</t>
  </si>
  <si>
    <t>53.</t>
  </si>
  <si>
    <t>Eftirlaunasjóður starfsmanna Olíuverslunar Ísl.</t>
  </si>
  <si>
    <t>54.</t>
  </si>
  <si>
    <t>Íslenski lífeyrissjóðurinn</t>
  </si>
  <si>
    <t>55.</t>
  </si>
  <si>
    <t>56.</t>
  </si>
  <si>
    <t>57.</t>
  </si>
  <si>
    <t>Lífeyrissjóðurinn Skjöldur</t>
  </si>
  <si>
    <t>58.</t>
  </si>
  <si>
    <t>Lífeyrissjóðurinn Eining</t>
  </si>
  <si>
    <t>Lífeyrissjóður starfsmanna Húsavíkurbæjar</t>
  </si>
  <si>
    <t>Lífeyrissjóður leigubifreiðastjóra</t>
  </si>
  <si>
    <t>Eftirlaunasjóður starfsm. Útvegsbanka Ísl.</t>
  </si>
  <si>
    <t>Lífeyrissjóður Neskaupstaðar</t>
  </si>
  <si>
    <t>Tryggingasjóður lækna</t>
  </si>
  <si>
    <t>Lífeyrissjóður starfsm. Vestmannaeyjabæjar</t>
  </si>
  <si>
    <t>Lífeyrissjóður starfsm. Sjóvátryggingafél. ísl.</t>
  </si>
  <si>
    <t>Lífeyrissjóður starfsm. Reykjavíkurapóteks</t>
  </si>
  <si>
    <t>Samtals:</t>
  </si>
  <si>
    <t>(9)</t>
  </si>
  <si>
    <t>(10)</t>
  </si>
  <si>
    <t>(11)</t>
  </si>
  <si>
    <t>Lífeyrissjóðurinn Framsýn</t>
  </si>
  <si>
    <t xml:space="preserve">fræðinga </t>
  </si>
  <si>
    <t>Lífeyrissjóður hjúkrunarfræðinga</t>
  </si>
  <si>
    <t>(53)</t>
  </si>
  <si>
    <t xml:space="preserve">    þ.a. tekjur </t>
  </si>
  <si>
    <t xml:space="preserve">    þ.a.  gjöld</t>
  </si>
  <si>
    <t xml:space="preserve">    Annar rekstrarkostnaður </t>
  </si>
  <si>
    <t xml:space="preserve">    Tap af sölu fjárfestinga</t>
  </si>
  <si>
    <t xml:space="preserve">    Vaxtagjöld</t>
  </si>
  <si>
    <t xml:space="preserve">    Reikn. tekjur/gjöld v. verðl.br. </t>
  </si>
  <si>
    <t xml:space="preserve">    Hagnaður af sölu fjárfestinga</t>
  </si>
  <si>
    <t xml:space="preserve">    Vaxtatekjur og gengismunur</t>
  </si>
  <si>
    <t xml:space="preserve">    Annar beinn kostn. v/ örorkulífeyris</t>
  </si>
  <si>
    <t xml:space="preserve">    Umsjónarnefnd eftirlauna </t>
  </si>
  <si>
    <t xml:space="preserve">    Lífeyrir </t>
  </si>
  <si>
    <t xml:space="preserve">    Sjóðfélagar</t>
  </si>
  <si>
    <t xml:space="preserve">    Launagreiðendur </t>
  </si>
  <si>
    <t xml:space="preserve">    Réttindaflutn. og endurgr.</t>
  </si>
  <si>
    <t xml:space="preserve">    Sérstök aukaframlög</t>
  </si>
  <si>
    <t xml:space="preserve">     Iðgjöld    </t>
  </si>
  <si>
    <t xml:space="preserve">     Lífeyrir    </t>
  </si>
  <si>
    <t xml:space="preserve">     Fjárfestingartekjur    </t>
  </si>
  <si>
    <t xml:space="preserve">             Fjárfestingargjöld    </t>
  </si>
  <si>
    <t xml:space="preserve">     Rekstrarkostnaður    </t>
  </si>
  <si>
    <t xml:space="preserve">    Af eignarhlutum</t>
  </si>
  <si>
    <t xml:space="preserve">    Af húseignum og lóðum</t>
  </si>
  <si>
    <t xml:space="preserve">    Skrifstofu- og stjórnunarkostnaður </t>
  </si>
  <si>
    <t>Iðgjöld</t>
  </si>
  <si>
    <t>Lífeyrir</t>
  </si>
  <si>
    <t>Fjárfestingartekjur</t>
  </si>
  <si>
    <t>Fjárfestingargjöld</t>
  </si>
  <si>
    <t xml:space="preserve">Rekstrarkostnaður    </t>
  </si>
  <si>
    <t>Aðrar tekjur</t>
  </si>
  <si>
    <t>Önnur gjöld</t>
  </si>
  <si>
    <t>Hækkun á hreinni eign fyrir</t>
  </si>
  <si>
    <t>óreglulega liði og matsbreytingar</t>
  </si>
  <si>
    <t>Óreglulegar tekjur og gjöld</t>
  </si>
  <si>
    <t>Matsbreytingar</t>
  </si>
  <si>
    <t>Hækkun á hreinni eign á árinu</t>
  </si>
  <si>
    <t>Hrein eign frá fyrra ári</t>
  </si>
  <si>
    <t xml:space="preserve">EIGNIR </t>
  </si>
  <si>
    <t>SKULDIR</t>
  </si>
  <si>
    <t xml:space="preserve">      Aðrar fjárfestingar    </t>
  </si>
  <si>
    <t xml:space="preserve">Kröfur    </t>
  </si>
  <si>
    <t xml:space="preserve">Aðrar eignir    </t>
  </si>
  <si>
    <t xml:space="preserve">Viðskiptaskuldir    </t>
  </si>
  <si>
    <t>Inngreiðslur</t>
  </si>
  <si>
    <t xml:space="preserve">    Iðgjöld</t>
  </si>
  <si>
    <t xml:space="preserve">    Fjárfestingartekjur</t>
  </si>
  <si>
    <t xml:space="preserve">    Aðrar tekjur </t>
  </si>
  <si>
    <t xml:space="preserve">    Afborganir verðbréfa</t>
  </si>
  <si>
    <t xml:space="preserve">    Seldar aðrar fjárfestingar</t>
  </si>
  <si>
    <t xml:space="preserve">    Aðrar inngreiðslur</t>
  </si>
  <si>
    <t xml:space="preserve">Inngreiðslur    </t>
  </si>
  <si>
    <t>Útgreiðslur</t>
  </si>
  <si>
    <t xml:space="preserve">    Fjárfestingargjöld</t>
  </si>
  <si>
    <t xml:space="preserve">    Rekstrarkostnaður án afskrifta</t>
  </si>
  <si>
    <t xml:space="preserve">    Önnur gjöld </t>
  </si>
  <si>
    <t xml:space="preserve">    Aðrar útgreiðslur</t>
  </si>
  <si>
    <t xml:space="preserve">Útgreiðslur    </t>
  </si>
  <si>
    <t>Ráðstöfunarfé til kaupa á verð-</t>
  </si>
  <si>
    <t xml:space="preserve">bréfum og annarri fjárfestingu </t>
  </si>
  <si>
    <t xml:space="preserve">    Verðbréf með breytilegum tekjum</t>
  </si>
  <si>
    <t xml:space="preserve">    Verðbréf með föstum tekjum</t>
  </si>
  <si>
    <t xml:space="preserve">    Ný veðlán og útlán</t>
  </si>
  <si>
    <t xml:space="preserve">    Húseignir og lóðir</t>
  </si>
  <si>
    <t>Lífiðn</t>
  </si>
  <si>
    <t>Markaðsskuldabréf</t>
  </si>
  <si>
    <r>
      <t xml:space="preserve">SKULDIR SAMTALS    </t>
    </r>
    <r>
      <rPr>
        <i/>
        <sz val="10"/>
        <color indexed="18"/>
        <rFont val="Times New Roman"/>
        <family val="1"/>
      </rPr>
      <t xml:space="preserve">    </t>
    </r>
  </si>
  <si>
    <t xml:space="preserve">EIGNIR SAMTALS      </t>
  </si>
  <si>
    <t xml:space="preserve">    Tekjur vegna matsbr. fjárfestinga</t>
  </si>
  <si>
    <t xml:space="preserve">    Gjöld vegna matsbr. fjárfestinga</t>
  </si>
  <si>
    <t xml:space="preserve">   Ríkissjóður Íslands, alls</t>
  </si>
  <si>
    <t xml:space="preserve">       spariskírteini</t>
  </si>
  <si>
    <t xml:space="preserve">       ríkisbréf</t>
  </si>
  <si>
    <t xml:space="preserve">   Skuldabréf erlendra aðila</t>
  </si>
  <si>
    <t xml:space="preserve">       útgefin í erlendri mynt</t>
  </si>
  <si>
    <t xml:space="preserve">       útgefin í íslenskum krónum</t>
  </si>
  <si>
    <t xml:space="preserve">   Einstaklingar (s.s. sjóðfélagalán)</t>
  </si>
  <si>
    <t>Skammtímaverðbréf</t>
  </si>
  <si>
    <t>Önnur skuldabréf</t>
  </si>
  <si>
    <t>Hlutdeildarskírteini verðbréfasjóða</t>
  </si>
  <si>
    <t>Hlutabréfasjóðir</t>
  </si>
  <si>
    <t xml:space="preserve">       þ.a. erl. verðbréfasj. (open-end)</t>
  </si>
  <si>
    <t xml:space="preserve">       þ.a. erl. hlutabréfasj. (closed-end)</t>
  </si>
  <si>
    <t>Hlutabréf</t>
  </si>
  <si>
    <r>
      <t xml:space="preserve">      </t>
    </r>
    <r>
      <rPr>
        <sz val="10"/>
        <color indexed="12"/>
        <rFont val="Times New Roman"/>
        <family val="1"/>
      </rPr>
      <t>innlend hlutabréf</t>
    </r>
  </si>
  <si>
    <r>
      <t xml:space="preserve">      </t>
    </r>
    <r>
      <rPr>
        <sz val="10"/>
        <color indexed="12"/>
        <rFont val="Times New Roman"/>
        <family val="1"/>
      </rPr>
      <t>erlend hlutabréf</t>
    </r>
  </si>
  <si>
    <t>Bundin innlán hjá lánastofnunum</t>
  </si>
  <si>
    <t>Annað</t>
  </si>
  <si>
    <t xml:space="preserve">            Önnur skráð hlutabréf</t>
  </si>
  <si>
    <t xml:space="preserve">            Óskráð hlutabréf</t>
  </si>
  <si>
    <r>
      <t xml:space="preserve">            </t>
    </r>
    <r>
      <rPr>
        <sz val="8"/>
        <color indexed="12"/>
        <rFont val="Times New Roman"/>
        <family val="1"/>
      </rPr>
      <t>Skráð á Verðbréfaþingi Ísl.</t>
    </r>
  </si>
  <si>
    <t xml:space="preserve">       útgefið erlendis</t>
  </si>
  <si>
    <t>Kaup á verðbr. og önnur fjárfesting</t>
  </si>
  <si>
    <t xml:space="preserve">    Seld verðbréf m. breytil. tekjum</t>
  </si>
  <si>
    <t xml:space="preserve">    Seld verðbréf m. föstum tekjum</t>
  </si>
  <si>
    <t>Lífeyrissjóðurinn Lífiðn</t>
  </si>
  <si>
    <t>Séreignalífeyrissjóðurinn</t>
  </si>
  <si>
    <t xml:space="preserve">   Ríkissjóður Íslands og ríkisstofnanir</t>
  </si>
  <si>
    <t xml:space="preserve">       útgefið innanlands, gengisbundið</t>
  </si>
  <si>
    <t>AÐRAR FJÁRFESTINGAR ALLS</t>
  </si>
  <si>
    <r>
      <t xml:space="preserve">   </t>
    </r>
    <r>
      <rPr>
        <b/>
        <sz val="10"/>
        <color indexed="18"/>
        <rFont val="Times New Roman"/>
        <family val="1"/>
      </rPr>
      <t>Fyrirfr.gr.kostn.og áfallnar tekjur</t>
    </r>
  </si>
  <si>
    <t xml:space="preserve">   Óefnislegar eignir</t>
  </si>
  <si>
    <t xml:space="preserve">   Fjárfestingar</t>
  </si>
  <si>
    <t xml:space="preserve">     Aðrar fjárfestingar</t>
  </si>
  <si>
    <t xml:space="preserve">     Verðbréf með breytilegum tekjum</t>
  </si>
  <si>
    <t xml:space="preserve">     Verðbréf með föstum tekjum</t>
  </si>
  <si>
    <t xml:space="preserve">     Veðlán</t>
  </si>
  <si>
    <t xml:space="preserve">     Önnur útlán</t>
  </si>
  <si>
    <t xml:space="preserve">   Kröfur</t>
  </si>
  <si>
    <t xml:space="preserve">     Á launagreiðendur</t>
  </si>
  <si>
    <t xml:space="preserve">     Aðrar kröfur</t>
  </si>
  <si>
    <t xml:space="preserve">  Aðrar eignir</t>
  </si>
  <si>
    <t xml:space="preserve">     Rekstrarfjárm. og aðrar efnisl. eignir</t>
  </si>
  <si>
    <t xml:space="preserve">     Aðrar eignir</t>
  </si>
  <si>
    <r>
      <t xml:space="preserve">  </t>
    </r>
    <r>
      <rPr>
        <b/>
        <sz val="10"/>
        <color indexed="18"/>
        <rFont val="Times New Roman"/>
        <family val="1"/>
      </rPr>
      <t>Skuldbindingar</t>
    </r>
  </si>
  <si>
    <r>
      <t xml:space="preserve">   </t>
    </r>
    <r>
      <rPr>
        <b/>
        <sz val="10"/>
        <color indexed="18"/>
        <rFont val="Times New Roman"/>
        <family val="1"/>
      </rPr>
      <t>Viðskiptaskuldir</t>
    </r>
  </si>
  <si>
    <t xml:space="preserve">     Skuldir við lánastofnanir</t>
  </si>
  <si>
    <t xml:space="preserve">     Skuldabréfalán</t>
  </si>
  <si>
    <t xml:space="preserve">     Aðrar skuldir</t>
  </si>
  <si>
    <t>HREIN EIGN Í ÁRSLOK</t>
  </si>
  <si>
    <t>TIL GREIÐSLU LÍFEYRIS</t>
  </si>
  <si>
    <t xml:space="preserve">Markaðsskuldabréf    </t>
  </si>
  <si>
    <t xml:space="preserve">Önnur skuldabréf    </t>
  </si>
  <si>
    <t xml:space="preserve">Hlutabréf    </t>
  </si>
  <si>
    <t xml:space="preserve">Kaup á verðbr. og önnur fjárfest.  </t>
  </si>
  <si>
    <t>Reykjanes-</t>
  </si>
  <si>
    <t>Eftirlaunasjóður Reykjanesbæjar</t>
  </si>
  <si>
    <t xml:space="preserve">eyja </t>
  </si>
  <si>
    <t>Lífeyrissjóður Vestmannaeyja</t>
  </si>
  <si>
    <t>Eftirlaunasjóður FÍA</t>
  </si>
  <si>
    <t>Eftirlauna-</t>
  </si>
  <si>
    <t>FÍA</t>
  </si>
  <si>
    <t>Eftirlaunasj. starfsm. Hafnarfjarðarkaupstaðar</t>
  </si>
  <si>
    <t>Lífeyrissj. starfsm. Áburðarverksmiðju ríkisins</t>
  </si>
  <si>
    <t xml:space="preserve">   Áfallinn kostn. og f.fr.innh.tekjur</t>
  </si>
  <si>
    <r>
      <t xml:space="preserve">     Aðrar fjárfestingar </t>
    </r>
    <r>
      <rPr>
        <i/>
        <sz val="8"/>
        <color indexed="18"/>
        <rFont val="Times New Roman"/>
        <family val="1"/>
      </rPr>
      <t>1)</t>
    </r>
  </si>
  <si>
    <t>Fjárfestingar</t>
  </si>
  <si>
    <t>Sundurliðun innl. og erl. hlutabréfaeignar:</t>
  </si>
  <si>
    <t>Samtals</t>
  </si>
  <si>
    <t xml:space="preserve">   (Hlutabréf hlutabréfasjóða ekki talin með)</t>
  </si>
  <si>
    <t>annarra</t>
  </si>
  <si>
    <t>með ábyrgð</t>
  </si>
  <si>
    <t xml:space="preserve"> 31.12.1998</t>
  </si>
  <si>
    <t>banka-</t>
  </si>
  <si>
    <t>Lífeyrissjóður bankamanna</t>
  </si>
  <si>
    <t xml:space="preserve">arkitekta og </t>
  </si>
  <si>
    <t>tæknifr.</t>
  </si>
  <si>
    <t>sveitarfél.</t>
  </si>
  <si>
    <t>Lífeyrissjóður arkitekta og tæknifræðinga</t>
  </si>
  <si>
    <t>Lífeyrissjóður starfsmanna sveitarfélaga</t>
  </si>
  <si>
    <t>Lífeyrisssj.</t>
  </si>
  <si>
    <t xml:space="preserve">kaupst. </t>
  </si>
  <si>
    <t>Lífeyrissjóður Suðurlands</t>
  </si>
  <si>
    <t>Lífeyrissjóður verkfræðinga</t>
  </si>
  <si>
    <t>fræðinga</t>
  </si>
  <si>
    <t>verk-</t>
  </si>
  <si>
    <t>Búnaðarb.</t>
  </si>
  <si>
    <t>Útreikningur á kennitölum:</t>
  </si>
  <si>
    <t>Lífeyrissjóður starfsm. Búnaðarbanka Íslands hf.</t>
  </si>
  <si>
    <t xml:space="preserve">Lífeyrissjóður Mjólkursamsölunnar               </t>
  </si>
  <si>
    <t xml:space="preserve"> 31.12.1999</t>
  </si>
  <si>
    <t>árið 1999</t>
  </si>
  <si>
    <t xml:space="preserve">       3.6. YFIRLIT YFIR LÍFEYRISSJÓÐI Í STÆRÐARRÖÐ 31.12.1999</t>
  </si>
  <si>
    <t xml:space="preserve">    Tryggingakostnaður</t>
  </si>
  <si>
    <t xml:space="preserve">    Frá samstæðufélögum</t>
  </si>
  <si>
    <t xml:space="preserve">    Frá hlutdeildarfélögum</t>
  </si>
  <si>
    <t xml:space="preserve">    Breytingar á niðurfærslu</t>
  </si>
  <si>
    <t xml:space="preserve">    Aðrar fjárfestingartekjur</t>
  </si>
  <si>
    <t xml:space="preserve">    Önnur fjárfestingargjöld</t>
  </si>
  <si>
    <t xml:space="preserve">    Samstæðu- og hlutdeildarfélög</t>
  </si>
  <si>
    <t xml:space="preserve">    Hlutir í samstæðufélögum</t>
  </si>
  <si>
    <t xml:space="preserve">    Lán til samstæðufélaga</t>
  </si>
  <si>
    <t xml:space="preserve">    Hlutir í hlutdeildarfélögum</t>
  </si>
  <si>
    <t xml:space="preserve">    Lán til hlutdeildarfélaga</t>
  </si>
  <si>
    <t xml:space="preserve">     Bankainnstæður</t>
  </si>
  <si>
    <t xml:space="preserve">     Á samstæðu- og hlutdeildarfél.</t>
  </si>
  <si>
    <t xml:space="preserve">     Sjóður og veltiinnlán</t>
  </si>
  <si>
    <t xml:space="preserve">     Skuldir við samst.- og hlutdeildarfél.</t>
  </si>
  <si>
    <t xml:space="preserve">    Lækkun á bankainnstæðum</t>
  </si>
  <si>
    <t xml:space="preserve">    Hækkun á bankainnstæðum</t>
  </si>
  <si>
    <t xml:space="preserve">Meðalávöxtun 1995-1999 </t>
  </si>
  <si>
    <t>Hrein eign umfram heildarskuldb.</t>
  </si>
  <si>
    <t>Hrein eign umfram áfallnar skuldb.</t>
  </si>
  <si>
    <t xml:space="preserve">          Samtals:</t>
  </si>
  <si>
    <t xml:space="preserve">         Samtals: </t>
  </si>
  <si>
    <t>Fjárfestingatekjur nettó fyrir</t>
  </si>
  <si>
    <t>verðbreyt.færslu - kostnaður</t>
  </si>
  <si>
    <t>i</t>
  </si>
  <si>
    <t>Hækkun vísit. neysluv.1999(VNV)          j</t>
  </si>
  <si>
    <t>ríkisins</t>
  </si>
  <si>
    <t>1) 2)</t>
  </si>
  <si>
    <t>án ábyrgðar</t>
  </si>
  <si>
    <t>Veðlán (%)</t>
  </si>
  <si>
    <t>Annað (%)</t>
  </si>
  <si>
    <t>Eignir í ísl. kr. (%)</t>
  </si>
  <si>
    <t xml:space="preserve"> 2.  Meðaltal hreinnar raunávöxtunar síðustu 5 ára samkvæmt ársreikningum.</t>
  </si>
  <si>
    <t xml:space="preserve">    Aðrar fjárfestingar</t>
  </si>
  <si>
    <t>Þriggja ára</t>
  </si>
  <si>
    <t>meðal-</t>
  </si>
  <si>
    <t>Eignir í erl. gjaldmiðlum (%)</t>
  </si>
  <si>
    <t>Hækkun á sjóði og veltiinnlánum</t>
  </si>
  <si>
    <t>Sjóður og veltiinnlán í ársbyrjun</t>
  </si>
  <si>
    <t>Sjóður og veltiinnlán í árslok</t>
  </si>
  <si>
    <t>Annar lífeyrir (%)</t>
  </si>
  <si>
    <t>Annar lífeyrir í þús.kr.</t>
  </si>
  <si>
    <t xml:space="preserve">Meðalávöxtun </t>
  </si>
  <si>
    <t xml:space="preserve">frá stofnun </t>
  </si>
  <si>
    <t>1998.</t>
  </si>
  <si>
    <t>Samtryggingad.</t>
  </si>
  <si>
    <t>Lífeyrisbyrði</t>
  </si>
  <si>
    <t>(26)</t>
  </si>
  <si>
    <t xml:space="preserve">miðast eingöngu </t>
  </si>
  <si>
    <t xml:space="preserve">Lífeyrissjóður starfsmanna ríkisins </t>
  </si>
  <si>
    <t>4)</t>
  </si>
  <si>
    <t>1) Ábyrgð annarra á skuldbindingum.  2) Tekur ekki við iðgjöldum. 3) Séreignasjóðir</t>
  </si>
  <si>
    <t xml:space="preserve">4) Lífeyrissjóðir sem sameinast viðkomandi sjóði árið 1999 eru meðtaldir í árslok.  </t>
  </si>
  <si>
    <t>1) 4)</t>
  </si>
  <si>
    <t xml:space="preserve"> 9.  Fjárhagsleg staða sjóðsins skv. tryggingafræðilegri úttekt m.v. 31.12.1999. </t>
  </si>
  <si>
    <t xml:space="preserve"> 5.  Meðaltal fjölda sjóðfélaga sem greiddi iðgjald á árinu 1999.</t>
  </si>
  <si>
    <t xml:space="preserve"> 6.  Meðaltal fjölda lífeyrisþega sem fékk greiddan lífeyri á árinu 1999.</t>
  </si>
  <si>
    <t>Skráð verðbréf með br. tekjum (%)</t>
  </si>
  <si>
    <t>Skráð verðbréf með föst. tekjum (%)</t>
  </si>
  <si>
    <t>Óskráð verðbréf með br. tekjum (%)</t>
  </si>
  <si>
    <t>Óskráð verðbréf með föst. tekjum (%)</t>
  </si>
  <si>
    <t xml:space="preserve"> 3.  Hlutfallsleg skipting annarra fjárfestinga.</t>
  </si>
  <si>
    <t xml:space="preserve"> 4.  Hlutfallsleg skipting annarra fjárfestinga eftir gjaldmiðlum.</t>
  </si>
  <si>
    <t xml:space="preserve"> 7.  Hlutfallsleg skipting lífeyris skv. samþykktum sjóðsins sjá skýringu</t>
  </si>
  <si>
    <t xml:space="preserve"> 1.  Hrein raunávöxtun miðað við vísitölu neysluverðs (5,6% hækkun á árinu 1999)</t>
  </si>
  <si>
    <t xml:space="preserve">      ((Eignir  +  núvirði framtíðariðgj.)  - heildarskuldbinding) / heildarskuldbinding.</t>
  </si>
  <si>
    <t xml:space="preserve"> 8.  Lífeyrir sem hlutfall af iðgjöldum</t>
  </si>
  <si>
    <t xml:space="preserve">10. Fjárhagsleg staða sjóðsins skv. tryggingafræðilegri úttekt m.v. 31.12.1999. </t>
  </si>
  <si>
    <t>Nr.</t>
  </si>
  <si>
    <t>Séreignasjóður</t>
  </si>
  <si>
    <t xml:space="preserve">      sjá skýringu í inngangi að kafla 3.</t>
  </si>
  <si>
    <t xml:space="preserve">      í inngangi að kafla 3.</t>
  </si>
  <si>
    <t>úttekt ekki fyrir-</t>
  </si>
  <si>
    <t>Deild I: 9,2% Deild II: 0%</t>
  </si>
  <si>
    <t>A-deild 35,9% V-deild 29,2%</t>
  </si>
  <si>
    <t>A-deild-3,1% V-deild 3,7%</t>
  </si>
  <si>
    <t>Útreikningur á kennitölum</t>
  </si>
  <si>
    <t xml:space="preserve"> 2)</t>
  </si>
  <si>
    <t>2) 3)</t>
  </si>
  <si>
    <t xml:space="preserve">Framreiknuð </t>
  </si>
  <si>
    <t xml:space="preserve">tryggingafr.  </t>
  </si>
  <si>
    <t>Tekur ekki við</t>
  </si>
  <si>
    <t>ómarktæk</t>
  </si>
  <si>
    <t xml:space="preserve">Hr. raunávöxt. </t>
  </si>
  <si>
    <t>A-deild -5,8% B-deild -56%</t>
  </si>
  <si>
    <t>A-deild 5,4% B-deild -51%</t>
  </si>
  <si>
    <t>A-deild 15,2%</t>
  </si>
  <si>
    <t>Hrein eign</t>
  </si>
  <si>
    <t xml:space="preserve">Hrein eign </t>
  </si>
  <si>
    <t>(14 sjóðir)</t>
  </si>
  <si>
    <t>Hr. raunávöxt.</t>
  </si>
  <si>
    <t xml:space="preserve">sbr. skýr. í </t>
  </si>
  <si>
    <t xml:space="preserve">Útreikn. kennit. </t>
  </si>
  <si>
    <t>við sameignard.</t>
  </si>
  <si>
    <t>Séreignad.17,4%</t>
  </si>
  <si>
    <t xml:space="preserve">Uppl. um </t>
  </si>
  <si>
    <t>kennit. 3 og 4</t>
  </si>
  <si>
    <t>Hr. raunávöx.</t>
  </si>
  <si>
    <t>B-deild 10%</t>
  </si>
  <si>
    <t>(59)</t>
  </si>
  <si>
    <t>(60)</t>
  </si>
  <si>
    <t>(46 sjóðir)</t>
  </si>
  <si>
    <t xml:space="preserve">A-deild 41,6% B-deild -71% </t>
  </si>
  <si>
    <t>B-deild 7,6%</t>
  </si>
  <si>
    <t>hverrar deildar:</t>
  </si>
  <si>
    <t xml:space="preserve">Hr. raunávöxt.: </t>
  </si>
  <si>
    <t>samed. 10,3%</t>
  </si>
  <si>
    <t>séred. 15,8%</t>
  </si>
  <si>
    <t>samed. 21,6%</t>
  </si>
  <si>
    <t>séred. 9,1%</t>
  </si>
  <si>
    <t>Tryggingafræðil.</t>
  </si>
  <si>
    <t>stofnuð 20.10.99.</t>
  </si>
  <si>
    <t>stofnuð í nóv.99.</t>
  </si>
  <si>
    <t>iðgjöldum.</t>
  </si>
  <si>
    <t>úttekt frá ´96.</t>
  </si>
  <si>
    <t>liggjandi.</t>
  </si>
  <si>
    <t>ekki fáanlegar.</t>
  </si>
  <si>
    <t>A-deild 1,9%.</t>
  </si>
  <si>
    <t>inng. 3. kafla.</t>
  </si>
  <si>
    <t xml:space="preserve">Upplýsingar </t>
  </si>
  <si>
    <t xml:space="preserve">um kennit. 3 </t>
  </si>
  <si>
    <t>samed. 8,2%.</t>
  </si>
  <si>
    <t>séred. 11,1%.</t>
  </si>
  <si>
    <t>ávöxtun.</t>
  </si>
  <si>
    <t>Hlutfd.   19% Stigad. 58,6%</t>
  </si>
  <si>
    <t>Hlutfd.  6,0% Stigad.   2,4%</t>
  </si>
  <si>
    <t>Séreignasjóður.</t>
  </si>
  <si>
    <t>59.</t>
  </si>
  <si>
    <t>60.</t>
  </si>
  <si>
    <t>Hlutfalls-</t>
  </si>
  <si>
    <t>Aldursháð-</t>
  </si>
  <si>
    <t>Lífeyrissj. stm. Búnaðarbanka Ísl. hf.</t>
  </si>
  <si>
    <t>Lífeyrissj. arkitekta og tæknifræðinga</t>
  </si>
  <si>
    <t>Lífeyrissj. verkalýðsfél. á Norðurl. v.</t>
  </si>
  <si>
    <t>Lífeyrissj. starfsm. Reykjavíkurborgar</t>
  </si>
  <si>
    <t>Lífeyrissj. Eimskipafélags Íslands hf.</t>
  </si>
  <si>
    <t>Eftirlaunasj. starfsm. Íslandsbanka hf.</t>
  </si>
  <si>
    <t>Eftirl.sj. Slökkviliðsm. á Keflavíkurfl.v.</t>
  </si>
  <si>
    <t>Lífeyrissj. starfsm. Kópavogskaupst.</t>
  </si>
  <si>
    <t>Eftirl.sj. starfsm. Hafnarfjarðarkaupst.</t>
  </si>
  <si>
    <t>Lífeyrissj. Tannlæknafélags Íslands</t>
  </si>
  <si>
    <t>Lífeyrissjóður starfsm. sveitarfélaga</t>
  </si>
  <si>
    <t>Lífeyrissj. stm. Áburðarv.smiðju ríkisins</t>
  </si>
  <si>
    <t>Eftirlaunasj. starfsm. Olíuverslunar Ísl.</t>
  </si>
  <si>
    <t>Lífeyrissj. starfsm. Húsavíkurbæjar</t>
  </si>
  <si>
    <t>Eftirlaunasj. starfsm. Útvegsbanka Ísl.</t>
  </si>
  <si>
    <t>Lífeyrissj. starfsm. Vestmannaeyjabæjar</t>
  </si>
  <si>
    <t>Lífeyrissj. stm. Sjóvátryggingafél. ísl.</t>
  </si>
  <si>
    <t>Lífeyrissj. stm. Reykjavíkurapóteks</t>
  </si>
  <si>
    <t xml:space="preserve">um kennit. 3, </t>
  </si>
  <si>
    <t xml:space="preserve">4, 9 og 10 </t>
  </si>
  <si>
    <t xml:space="preserve">ekki fáanlegar. </t>
  </si>
  <si>
    <t xml:space="preserve">A-deild 4,0%  B-deild -67% </t>
  </si>
  <si>
    <t xml:space="preserve">Samtals:   </t>
  </si>
  <si>
    <t xml:space="preserve">kerfi </t>
  </si>
  <si>
    <t xml:space="preserve">Stigakerfi </t>
  </si>
  <si>
    <t xml:space="preserve">Séreign </t>
  </si>
  <si>
    <t>Aldursháð kerfi: Iðgjöld gefa mismunandi stig eftir aldri sjóðfélagans.</t>
  </si>
  <si>
    <t>Stigakerfi:  Iðgjöld eru umreiknuð í stig, óháð aldri sjóðfélagans.  Hlutfallskerfi:  Lífeyrir er hlutfall af launum.</t>
  </si>
  <si>
    <t xml:space="preserve">      (Eignir - áfallin skuldbinding) / áfallin skuldbinding.</t>
  </si>
</sst>
</file>

<file path=xl/styles.xml><?xml version="1.0" encoding="utf-8"?>
<styleSheet xmlns="http://schemas.openxmlformats.org/spreadsheetml/2006/main">
  <numFmts count="39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General_)"/>
    <numFmt numFmtId="177" formatCode="#,##0_);\(#,##0\)"/>
    <numFmt numFmtId="178" formatCode="0.0_)"/>
    <numFmt numFmtId="179" formatCode="0.0"/>
    <numFmt numFmtId="180" formatCode="0.0%"/>
    <numFmt numFmtId="181" formatCode="#,##0.0"/>
    <numFmt numFmtId="182" formatCode="0.000"/>
    <numFmt numFmtId="183" formatCode="#,##0.0;\-#,##0.0"/>
    <numFmt numFmtId="184" formatCode="0.000%"/>
    <numFmt numFmtId="185" formatCode="#,##0.0;[Red]\-#,##0.0"/>
    <numFmt numFmtId="186" formatCode="#,##0.000;[Red]\-#,##0.000"/>
    <numFmt numFmtId="187" formatCode="#,##0.000"/>
    <numFmt numFmtId="188" formatCode="#,##0.0000"/>
    <numFmt numFmtId="189" formatCode="#,##0\ &quot;kr.&quot;"/>
    <numFmt numFmtId="190" formatCode="00000"/>
    <numFmt numFmtId="191" formatCode="m/d"/>
    <numFmt numFmtId="192" formatCode="m/d/yy"/>
    <numFmt numFmtId="193" formatCode="#,##0.000;\-#,##0.000"/>
    <numFmt numFmtId="194" formatCode="#,##0.0000;\-#,##0.0000"/>
  </numFmts>
  <fonts count="65">
    <font>
      <sz val="10"/>
      <name val="Courier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name val="Times New Roman"/>
      <family val="0"/>
    </font>
    <font>
      <sz val="10"/>
      <color indexed="12"/>
      <name val="Times New Roman"/>
      <family val="0"/>
    </font>
    <font>
      <b/>
      <u val="single"/>
      <sz val="12"/>
      <name val="Times New Roman"/>
      <family val="0"/>
    </font>
    <font>
      <sz val="10"/>
      <color indexed="12"/>
      <name val="Courier"/>
      <family val="0"/>
    </font>
    <font>
      <b/>
      <sz val="10"/>
      <color indexed="12"/>
      <name val="Times New Roman"/>
      <family val="0"/>
    </font>
    <font>
      <sz val="10"/>
      <color indexed="18"/>
      <name val="Times New Roman"/>
      <family val="0"/>
    </font>
    <font>
      <b/>
      <sz val="10"/>
      <color indexed="18"/>
      <name val="Times New Roman"/>
      <family val="0"/>
    </font>
    <font>
      <sz val="9"/>
      <color indexed="12"/>
      <name val="Times New Roman"/>
      <family val="0"/>
    </font>
    <font>
      <sz val="9"/>
      <name val="Times New Roman"/>
      <family val="1"/>
    </font>
    <font>
      <b/>
      <sz val="14"/>
      <name val="Times New Roman"/>
      <family val="1"/>
    </font>
    <font>
      <sz val="8"/>
      <name val="Courier"/>
      <family val="0"/>
    </font>
    <font>
      <sz val="10"/>
      <color indexed="10"/>
      <name val="Times New Roman"/>
      <family val="1"/>
    </font>
    <font>
      <i/>
      <sz val="10"/>
      <color indexed="12"/>
      <name val="Times New Roman"/>
      <family val="1"/>
    </font>
    <font>
      <i/>
      <sz val="10"/>
      <color indexed="18"/>
      <name val="Times New Roman"/>
      <family val="1"/>
    </font>
    <font>
      <sz val="10"/>
      <color indexed="10"/>
      <name val="Courier"/>
      <family val="0"/>
    </font>
    <font>
      <b/>
      <sz val="10"/>
      <color indexed="10"/>
      <name val="Times New Roman"/>
      <family val="0"/>
    </font>
    <font>
      <sz val="10"/>
      <color indexed="56"/>
      <name val="Times New Roman"/>
      <family val="1"/>
    </font>
    <font>
      <b/>
      <i/>
      <sz val="10"/>
      <color indexed="18"/>
      <name val="Times New Roman"/>
      <family val="1"/>
    </font>
    <font>
      <b/>
      <i/>
      <sz val="8"/>
      <color indexed="12"/>
      <name val="Times New Roman"/>
      <family val="1"/>
    </font>
    <font>
      <sz val="8"/>
      <color indexed="12"/>
      <name val="Times New Roman"/>
      <family val="1"/>
    </font>
    <font>
      <i/>
      <sz val="8"/>
      <color indexed="18"/>
      <name val="Times New Roman"/>
      <family val="1"/>
    </font>
    <font>
      <b/>
      <sz val="8"/>
      <color indexed="12"/>
      <name val="Times New Roman"/>
      <family val="0"/>
    </font>
    <font>
      <sz val="8"/>
      <color indexed="56"/>
      <name val="Times New Roman"/>
      <family val="1"/>
    </font>
    <font>
      <b/>
      <sz val="9"/>
      <name val="Times New Roman"/>
      <family val="1"/>
    </font>
    <font>
      <sz val="9"/>
      <name val="Courier"/>
      <family val="0"/>
    </font>
    <font>
      <b/>
      <sz val="9"/>
      <color indexed="18"/>
      <name val="Times New Roman"/>
      <family val="0"/>
    </font>
    <font>
      <sz val="9"/>
      <color indexed="10"/>
      <name val="Times New Roman"/>
      <family val="1"/>
    </font>
    <font>
      <sz val="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2">
    <xf numFmtId="17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5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4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64">
    <xf numFmtId="176" fontId="0" fillId="0" borderId="0" xfId="0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 applyProtection="1">
      <alignment/>
      <protection locked="0"/>
    </xf>
    <xf numFmtId="3" fontId="5" fillId="0" borderId="0" xfId="0" applyNumberFormat="1" applyFont="1" applyAlignment="1" applyProtection="1">
      <alignment/>
      <protection/>
    </xf>
    <xf numFmtId="172" fontId="5" fillId="0" borderId="0" xfId="0" applyNumberFormat="1" applyFont="1" applyAlignment="1" applyProtection="1">
      <alignment/>
      <protection/>
    </xf>
    <xf numFmtId="10" fontId="5" fillId="0" borderId="0" xfId="0" applyNumberFormat="1" applyFont="1" applyAlignment="1" applyProtection="1">
      <alignment/>
      <protection locked="0"/>
    </xf>
    <xf numFmtId="0" fontId="4" fillId="0" borderId="0" xfId="55" applyAlignment="1">
      <alignment horizontal="right"/>
      <protection/>
    </xf>
    <xf numFmtId="3" fontId="4" fillId="0" borderId="0" xfId="55" applyNumberFormat="1">
      <alignment/>
      <protection/>
    </xf>
    <xf numFmtId="0" fontId="4" fillId="0" borderId="0" xfId="55">
      <alignment/>
      <protection/>
    </xf>
    <xf numFmtId="0" fontId="1" fillId="0" borderId="0" xfId="55" applyFont="1">
      <alignment/>
      <protection/>
    </xf>
    <xf numFmtId="180" fontId="4" fillId="0" borderId="0" xfId="55" applyNumberFormat="1">
      <alignment/>
      <protection/>
    </xf>
    <xf numFmtId="0" fontId="1" fillId="0" borderId="0" xfId="55" applyFont="1" applyAlignment="1">
      <alignment horizontal="right"/>
      <protection/>
    </xf>
    <xf numFmtId="172" fontId="5" fillId="0" borderId="0" xfId="0" applyNumberFormat="1" applyFont="1" applyAlignment="1">
      <alignment/>
    </xf>
    <xf numFmtId="176" fontId="7" fillId="0" borderId="0" xfId="0" applyFont="1" applyAlignment="1">
      <alignment/>
    </xf>
    <xf numFmtId="3" fontId="4" fillId="0" borderId="0" xfId="0" applyNumberFormat="1" applyFont="1" applyAlignment="1" applyProtection="1">
      <alignment/>
      <protection/>
    </xf>
    <xf numFmtId="172" fontId="4" fillId="0" borderId="0" xfId="0" applyNumberFormat="1" applyFont="1" applyAlignment="1" applyProtection="1">
      <alignment/>
      <protection/>
    </xf>
    <xf numFmtId="172" fontId="0" fillId="0" borderId="0" xfId="0" applyNumberFormat="1" applyAlignment="1" applyProtection="1">
      <alignment/>
      <protection/>
    </xf>
    <xf numFmtId="176" fontId="0" fillId="0" borderId="0" xfId="0" applyAlignment="1" applyProtection="1">
      <alignment/>
      <protection/>
    </xf>
    <xf numFmtId="172" fontId="9" fillId="33" borderId="0" xfId="0" applyNumberFormat="1" applyFont="1" applyFill="1" applyAlignment="1" applyProtection="1" quotePrefix="1">
      <alignment horizontal="right"/>
      <protection locked="0"/>
    </xf>
    <xf numFmtId="172" fontId="10" fillId="33" borderId="0" xfId="0" applyNumberFormat="1" applyFont="1" applyFill="1" applyAlignment="1" applyProtection="1">
      <alignment horizontal="center"/>
      <protection locked="0"/>
    </xf>
    <xf numFmtId="3" fontId="4" fillId="33" borderId="0" xfId="0" applyNumberFormat="1" applyFont="1" applyFill="1" applyAlignment="1" applyProtection="1">
      <alignment/>
      <protection/>
    </xf>
    <xf numFmtId="176" fontId="0" fillId="33" borderId="0" xfId="0" applyFill="1" applyAlignment="1" applyProtection="1">
      <alignment/>
      <protection/>
    </xf>
    <xf numFmtId="3" fontId="5" fillId="33" borderId="0" xfId="0" applyNumberFormat="1" applyFont="1" applyFill="1" applyAlignment="1" applyProtection="1">
      <alignment horizontal="left"/>
      <protection/>
    </xf>
    <xf numFmtId="3" fontId="8" fillId="33" borderId="0" xfId="0" applyNumberFormat="1" applyFont="1" applyFill="1" applyAlignment="1" applyProtection="1">
      <alignment horizontal="left"/>
      <protection/>
    </xf>
    <xf numFmtId="3" fontId="4" fillId="33" borderId="0" xfId="0" applyNumberFormat="1" applyFont="1" applyFill="1" applyBorder="1" applyAlignment="1" applyProtection="1">
      <alignment/>
      <protection/>
    </xf>
    <xf numFmtId="3" fontId="5" fillId="33" borderId="0" xfId="0" applyNumberFormat="1" applyFont="1" applyFill="1" applyBorder="1" applyAlignment="1" applyProtection="1">
      <alignment horizontal="left"/>
      <protection/>
    </xf>
    <xf numFmtId="3" fontId="8" fillId="33" borderId="0" xfId="0" applyNumberFormat="1" applyFont="1" applyFill="1" applyBorder="1" applyAlignment="1" applyProtection="1">
      <alignment horizontal="left"/>
      <protection/>
    </xf>
    <xf numFmtId="172" fontId="8" fillId="33" borderId="0" xfId="0" applyNumberFormat="1" applyFont="1" applyFill="1" applyAlignment="1" applyProtection="1">
      <alignment horizontal="center"/>
      <protection/>
    </xf>
    <xf numFmtId="10" fontId="5" fillId="33" borderId="0" xfId="0" applyNumberFormat="1" applyFont="1" applyFill="1" applyAlignment="1" applyProtection="1">
      <alignment horizontal="left"/>
      <protection/>
    </xf>
    <xf numFmtId="3" fontId="7" fillId="33" borderId="0" xfId="0" applyNumberFormat="1" applyFont="1" applyFill="1" applyAlignment="1">
      <alignment/>
    </xf>
    <xf numFmtId="0" fontId="4" fillId="0" borderId="0" xfId="55" applyFont="1" applyAlignment="1">
      <alignment horizontal="right"/>
      <protection/>
    </xf>
    <xf numFmtId="176" fontId="4" fillId="33" borderId="0" xfId="0" applyFont="1" applyFill="1" applyAlignment="1" applyProtection="1">
      <alignment/>
      <protection/>
    </xf>
    <xf numFmtId="3" fontId="4" fillId="0" borderId="0" xfId="0" applyNumberFormat="1" applyFont="1" applyAlignment="1" applyProtection="1">
      <alignment/>
      <protection/>
    </xf>
    <xf numFmtId="3" fontId="11" fillId="33" borderId="0" xfId="0" applyNumberFormat="1" applyFont="1" applyFill="1" applyAlignment="1" applyProtection="1">
      <alignment horizontal="left"/>
      <protection/>
    </xf>
    <xf numFmtId="177" fontId="4" fillId="33" borderId="0" xfId="0" applyNumberFormat="1" applyFont="1" applyFill="1" applyAlignment="1" applyProtection="1" quotePrefix="1">
      <alignment horizontal="right"/>
      <protection/>
    </xf>
    <xf numFmtId="3" fontId="8" fillId="33" borderId="0" xfId="0" applyNumberFormat="1" applyFont="1" applyFill="1" applyAlignment="1" applyProtection="1">
      <alignment horizontal="right"/>
      <protection/>
    </xf>
    <xf numFmtId="0" fontId="12" fillId="0" borderId="0" xfId="55" applyFont="1">
      <alignment/>
      <protection/>
    </xf>
    <xf numFmtId="176" fontId="4" fillId="0" borderId="0" xfId="0" applyFont="1" applyAlignment="1">
      <alignment/>
    </xf>
    <xf numFmtId="180" fontId="5" fillId="0" borderId="0" xfId="0" applyNumberFormat="1" applyFont="1" applyAlignment="1">
      <alignment/>
    </xf>
    <xf numFmtId="176" fontId="14" fillId="0" borderId="0" xfId="0" applyFont="1" applyAlignment="1">
      <alignment/>
    </xf>
    <xf numFmtId="3" fontId="12" fillId="33" borderId="0" xfId="0" applyNumberFormat="1" applyFont="1" applyFill="1" applyAlignment="1" applyProtection="1">
      <alignment/>
      <protection/>
    </xf>
    <xf numFmtId="3" fontId="15" fillId="0" borderId="0" xfId="0" applyNumberFormat="1" applyFont="1" applyAlignment="1" applyProtection="1">
      <alignment/>
      <protection/>
    </xf>
    <xf numFmtId="3" fontId="4" fillId="33" borderId="0" xfId="0" applyNumberFormat="1" applyFont="1" applyFill="1" applyBorder="1" applyAlignment="1" applyProtection="1">
      <alignment horizontal="center"/>
      <protection/>
    </xf>
    <xf numFmtId="172" fontId="9" fillId="33" borderId="0" xfId="0" applyNumberFormat="1" applyFont="1" applyFill="1" applyAlignment="1" applyProtection="1" quotePrefix="1">
      <alignment horizontal="center"/>
      <protection locked="0"/>
    </xf>
    <xf numFmtId="172" fontId="15" fillId="0" borderId="0" xfId="0" applyNumberFormat="1" applyFont="1" applyAlignment="1" applyProtection="1">
      <alignment/>
      <protection/>
    </xf>
    <xf numFmtId="3" fontId="16" fillId="33" borderId="0" xfId="0" applyNumberFormat="1" applyFont="1" applyFill="1" applyBorder="1" applyAlignment="1" applyProtection="1">
      <alignment horizontal="right"/>
      <protection/>
    </xf>
    <xf numFmtId="3" fontId="8" fillId="33" borderId="0" xfId="0" applyNumberFormat="1" applyFont="1" applyFill="1" applyBorder="1" applyAlignment="1" applyProtection="1">
      <alignment horizontal="left"/>
      <protection/>
    </xf>
    <xf numFmtId="3" fontId="20" fillId="0" borderId="0" xfId="0" applyNumberFormat="1" applyFont="1" applyAlignment="1" applyProtection="1">
      <alignment/>
      <protection locked="0"/>
    </xf>
    <xf numFmtId="3" fontId="4" fillId="33" borderId="0" xfId="0" applyNumberFormat="1" applyFont="1" applyFill="1" applyAlignment="1" applyProtection="1">
      <alignment horizontal="center"/>
      <protection/>
    </xf>
    <xf numFmtId="3" fontId="5" fillId="33" borderId="0" xfId="0" applyNumberFormat="1" applyFont="1" applyFill="1" applyAlignment="1" applyProtection="1">
      <alignment horizontal="left"/>
      <protection/>
    </xf>
    <xf numFmtId="3" fontId="16" fillId="33" borderId="0" xfId="0" applyNumberFormat="1" applyFont="1" applyFill="1" applyAlignment="1" applyProtection="1">
      <alignment horizontal="right"/>
      <protection/>
    </xf>
    <xf numFmtId="3" fontId="8" fillId="33" borderId="0" xfId="0" applyNumberFormat="1" applyFont="1" applyFill="1" applyAlignment="1" applyProtection="1">
      <alignment horizontal="left"/>
      <protection/>
    </xf>
    <xf numFmtId="3" fontId="10" fillId="33" borderId="0" xfId="0" applyNumberFormat="1" applyFont="1" applyFill="1" applyAlignment="1" applyProtection="1">
      <alignment horizontal="center"/>
      <protection/>
    </xf>
    <xf numFmtId="172" fontId="10" fillId="33" borderId="0" xfId="0" applyNumberFormat="1" applyFont="1" applyFill="1" applyAlignment="1" applyProtection="1">
      <alignment horizontal="center"/>
      <protection/>
    </xf>
    <xf numFmtId="172" fontId="9" fillId="33" borderId="0" xfId="0" applyNumberFormat="1" applyFont="1" applyFill="1" applyAlignment="1" applyProtection="1" quotePrefix="1">
      <alignment horizontal="center"/>
      <protection/>
    </xf>
    <xf numFmtId="3" fontId="9" fillId="33" borderId="0" xfId="0" applyNumberFormat="1" applyFont="1" applyFill="1" applyAlignment="1" applyProtection="1">
      <alignment/>
      <protection/>
    </xf>
    <xf numFmtId="172" fontId="19" fillId="33" borderId="0" xfId="0" applyNumberFormat="1" applyFont="1" applyFill="1" applyAlignment="1" applyProtection="1">
      <alignment horizontal="center"/>
      <protection/>
    </xf>
    <xf numFmtId="3" fontId="9" fillId="33" borderId="0" xfId="0" applyNumberFormat="1" applyFont="1" applyFill="1" applyAlignment="1" applyProtection="1">
      <alignment horizontal="left"/>
      <protection/>
    </xf>
    <xf numFmtId="49" fontId="9" fillId="33" borderId="0" xfId="0" applyNumberFormat="1" applyFont="1" applyFill="1" applyAlignment="1" applyProtection="1">
      <alignment horizontal="center"/>
      <protection/>
    </xf>
    <xf numFmtId="172" fontId="18" fillId="0" borderId="0" xfId="0" applyNumberFormat="1" applyFont="1" applyAlignment="1" applyProtection="1">
      <alignment/>
      <protection/>
    </xf>
    <xf numFmtId="3" fontId="10" fillId="33" borderId="0" xfId="0" applyNumberFormat="1" applyFont="1" applyFill="1" applyAlignment="1" applyProtection="1">
      <alignment horizontal="left"/>
      <protection/>
    </xf>
    <xf numFmtId="3" fontId="17" fillId="33" borderId="0" xfId="0" applyNumberFormat="1" applyFont="1" applyFill="1" applyAlignment="1" applyProtection="1">
      <alignment horizontal="right"/>
      <protection/>
    </xf>
    <xf numFmtId="3" fontId="9" fillId="33" borderId="0" xfId="0" applyNumberFormat="1" applyFont="1" applyFill="1" applyAlignment="1" applyProtection="1">
      <alignment horizontal="left"/>
      <protection/>
    </xf>
    <xf numFmtId="3" fontId="17" fillId="33" borderId="0" xfId="0" applyNumberFormat="1" applyFont="1" applyFill="1" applyAlignment="1" applyProtection="1">
      <alignment horizontal="left"/>
      <protection/>
    </xf>
    <xf numFmtId="3" fontId="9" fillId="33" borderId="0" xfId="0" applyNumberFormat="1" applyFont="1" applyFill="1" applyAlignment="1" applyProtection="1">
      <alignment/>
      <protection/>
    </xf>
    <xf numFmtId="3" fontId="10" fillId="33" borderId="0" xfId="0" applyNumberFormat="1" applyFont="1" applyFill="1" applyAlignment="1" applyProtection="1">
      <alignment horizontal="left"/>
      <protection/>
    </xf>
    <xf numFmtId="3" fontId="10" fillId="33" borderId="0" xfId="0" applyNumberFormat="1" applyFont="1" applyFill="1" applyAlignment="1" applyProtection="1">
      <alignment/>
      <protection/>
    </xf>
    <xf numFmtId="3" fontId="21" fillId="33" borderId="0" xfId="0" applyNumberFormat="1" applyFont="1" applyFill="1" applyAlignment="1" applyProtection="1">
      <alignment horizontal="right"/>
      <protection/>
    </xf>
    <xf numFmtId="0" fontId="4" fillId="0" borderId="0" xfId="55" applyAlignment="1" applyProtection="1">
      <alignment horizontal="right"/>
      <protection/>
    </xf>
    <xf numFmtId="0" fontId="4" fillId="0" borderId="0" xfId="55" applyProtection="1">
      <alignment/>
      <protection/>
    </xf>
    <xf numFmtId="0" fontId="13" fillId="0" borderId="0" xfId="55" applyFont="1" applyAlignment="1" applyProtection="1">
      <alignment horizontal="center"/>
      <protection/>
    </xf>
    <xf numFmtId="3" fontId="4" fillId="0" borderId="0" xfId="55" applyNumberFormat="1" applyProtection="1">
      <alignment/>
      <protection/>
    </xf>
    <xf numFmtId="0" fontId="6" fillId="0" borderId="0" xfId="55" applyFont="1" applyAlignment="1" applyProtection="1">
      <alignment horizontal="center"/>
      <protection/>
    </xf>
    <xf numFmtId="3" fontId="1" fillId="0" borderId="0" xfId="55" applyNumberFormat="1" applyFont="1" applyAlignment="1" applyProtection="1">
      <alignment horizontal="right"/>
      <protection/>
    </xf>
    <xf numFmtId="0" fontId="1" fillId="0" borderId="0" xfId="55" applyFont="1" applyProtection="1">
      <alignment/>
      <protection/>
    </xf>
    <xf numFmtId="0" fontId="1" fillId="0" borderId="0" xfId="55" applyFont="1" applyAlignment="1" applyProtection="1">
      <alignment horizontal="center"/>
      <protection/>
    </xf>
    <xf numFmtId="3" fontId="1" fillId="0" borderId="0" xfId="55" applyNumberFormat="1" applyFont="1" applyAlignment="1" applyProtection="1" quotePrefix="1">
      <alignment horizontal="right"/>
      <protection/>
    </xf>
    <xf numFmtId="0" fontId="1" fillId="0" borderId="0" xfId="55" applyNumberFormat="1" applyFont="1" applyAlignment="1" applyProtection="1">
      <alignment horizontal="center"/>
      <protection/>
    </xf>
    <xf numFmtId="3" fontId="4" fillId="0" borderId="0" xfId="55" applyNumberFormat="1" applyAlignment="1" applyProtection="1">
      <alignment horizontal="right"/>
      <protection/>
    </xf>
    <xf numFmtId="0" fontId="4" fillId="0" borderId="0" xfId="55" applyAlignment="1" applyProtection="1">
      <alignment horizontal="center"/>
      <protection/>
    </xf>
    <xf numFmtId="0" fontId="4" fillId="0" borderId="0" xfId="55" applyFont="1" applyAlignment="1" applyProtection="1">
      <alignment horizontal="right"/>
      <protection/>
    </xf>
    <xf numFmtId="172" fontId="8" fillId="33" borderId="0" xfId="0" applyNumberFormat="1" applyFont="1" applyFill="1" applyAlignment="1" applyProtection="1">
      <alignment horizontal="left"/>
      <protection/>
    </xf>
    <xf numFmtId="176" fontId="7" fillId="0" borderId="0" xfId="0" applyFont="1" applyAlignment="1" applyProtection="1">
      <alignment/>
      <protection/>
    </xf>
    <xf numFmtId="3" fontId="5" fillId="33" borderId="0" xfId="0" applyNumberFormat="1" applyFont="1" applyFill="1" applyAlignment="1" applyProtection="1">
      <alignment/>
      <protection/>
    </xf>
    <xf numFmtId="3" fontId="5" fillId="33" borderId="0" xfId="0" applyNumberFormat="1" applyFont="1" applyFill="1" applyAlignment="1" applyProtection="1">
      <alignment horizontal="center"/>
      <protection/>
    </xf>
    <xf numFmtId="172" fontId="5" fillId="33" borderId="0" xfId="0" applyNumberFormat="1" applyFont="1" applyFill="1" applyAlignment="1" applyProtection="1">
      <alignment horizontal="center"/>
      <protection/>
    </xf>
    <xf numFmtId="172" fontId="16" fillId="33" borderId="0" xfId="0" applyNumberFormat="1" applyFont="1" applyFill="1" applyAlignment="1" applyProtection="1">
      <alignment horizontal="right"/>
      <protection/>
    </xf>
    <xf numFmtId="172" fontId="5" fillId="33" borderId="0" xfId="0" applyNumberFormat="1" applyFont="1" applyFill="1" applyAlignment="1" applyProtection="1">
      <alignment horizontal="left"/>
      <protection/>
    </xf>
    <xf numFmtId="172" fontId="5" fillId="33" borderId="0" xfId="0" applyNumberFormat="1" applyFont="1" applyFill="1" applyAlignment="1" applyProtection="1">
      <alignment/>
      <protection/>
    </xf>
    <xf numFmtId="172" fontId="8" fillId="33" borderId="0" xfId="0" applyNumberFormat="1" applyFont="1" applyFill="1" applyAlignment="1" applyProtection="1">
      <alignment/>
      <protection/>
    </xf>
    <xf numFmtId="172" fontId="8" fillId="33" borderId="0" xfId="0" applyNumberFormat="1" applyFont="1" applyFill="1" applyAlignment="1" applyProtection="1">
      <alignment/>
      <protection/>
    </xf>
    <xf numFmtId="172" fontId="8" fillId="33" borderId="0" xfId="0" applyNumberFormat="1" applyFont="1" applyFill="1" applyAlignment="1" applyProtection="1">
      <alignment horizontal="left"/>
      <protection/>
    </xf>
    <xf numFmtId="3" fontId="8" fillId="33" borderId="0" xfId="0" applyNumberFormat="1" applyFont="1" applyFill="1" applyAlignment="1" applyProtection="1">
      <alignment/>
      <protection/>
    </xf>
    <xf numFmtId="3" fontId="22" fillId="33" borderId="0" xfId="0" applyNumberFormat="1" applyFont="1" applyFill="1" applyAlignment="1" applyProtection="1">
      <alignment horizontal="left"/>
      <protection/>
    </xf>
    <xf numFmtId="3" fontId="23" fillId="33" borderId="0" xfId="0" applyNumberFormat="1" applyFont="1" applyFill="1" applyAlignment="1" applyProtection="1">
      <alignment/>
      <protection/>
    </xf>
    <xf numFmtId="3" fontId="10" fillId="33" borderId="0" xfId="0" applyNumberFormat="1" applyFont="1" applyFill="1" applyAlignment="1" applyProtection="1">
      <alignment horizontal="left"/>
      <protection locked="0"/>
    </xf>
    <xf numFmtId="176" fontId="4" fillId="0" borderId="0" xfId="0" applyFont="1" applyAlignment="1" applyProtection="1">
      <alignment/>
      <protection/>
    </xf>
    <xf numFmtId="3" fontId="1" fillId="0" borderId="0" xfId="0" applyNumberFormat="1" applyFont="1" applyAlignment="1" applyProtection="1">
      <alignment horizontal="left"/>
      <protection/>
    </xf>
    <xf numFmtId="3" fontId="4" fillId="0" borderId="0" xfId="0" applyNumberFormat="1" applyFont="1" applyAlignment="1" applyProtection="1">
      <alignment horizontal="left"/>
      <protection/>
    </xf>
    <xf numFmtId="3" fontId="10" fillId="33" borderId="0" xfId="0" applyNumberFormat="1" applyFont="1" applyFill="1" applyAlignment="1" applyProtection="1">
      <alignment horizontal="right"/>
      <protection/>
    </xf>
    <xf numFmtId="3" fontId="23" fillId="33" borderId="0" xfId="0" applyNumberFormat="1" applyFont="1" applyFill="1" applyAlignment="1" applyProtection="1">
      <alignment horizontal="left"/>
      <protection/>
    </xf>
    <xf numFmtId="3" fontId="22" fillId="33" borderId="0" xfId="0" applyNumberFormat="1" applyFont="1" applyFill="1" applyAlignment="1" applyProtection="1">
      <alignment horizontal="right"/>
      <protection/>
    </xf>
    <xf numFmtId="3" fontId="8" fillId="33" borderId="0" xfId="0" applyNumberFormat="1" applyFont="1" applyFill="1" applyAlignment="1" applyProtection="1">
      <alignment/>
      <protection/>
    </xf>
    <xf numFmtId="3" fontId="25" fillId="33" borderId="0" xfId="0" applyNumberFormat="1" applyFont="1" applyFill="1" applyAlignment="1" applyProtection="1">
      <alignment horizontal="left"/>
      <protection/>
    </xf>
    <xf numFmtId="3" fontId="4" fillId="0" borderId="0" xfId="55" applyNumberFormat="1" applyAlignment="1">
      <alignment horizontal="right"/>
      <protection/>
    </xf>
    <xf numFmtId="3" fontId="1" fillId="0" borderId="0" xfId="55" applyNumberFormat="1" applyFont="1" applyAlignment="1">
      <alignment horizontal="right"/>
      <protection/>
    </xf>
    <xf numFmtId="0" fontId="1" fillId="0" borderId="0" xfId="55" applyFont="1" applyAlignment="1">
      <alignment horizontal="right"/>
      <protection/>
    </xf>
    <xf numFmtId="3" fontId="1" fillId="0" borderId="0" xfId="55" applyNumberFormat="1" applyFont="1" applyAlignment="1" applyProtection="1">
      <alignment horizontal="right"/>
      <protection/>
    </xf>
    <xf numFmtId="180" fontId="1" fillId="0" borderId="0" xfId="55" applyNumberFormat="1" applyFont="1" applyAlignment="1">
      <alignment horizontal="right"/>
      <protection/>
    </xf>
    <xf numFmtId="180" fontId="4" fillId="0" borderId="0" xfId="55" applyNumberFormat="1" applyAlignment="1">
      <alignment horizontal="center"/>
      <protection/>
    </xf>
    <xf numFmtId="10" fontId="20" fillId="0" borderId="0" xfId="0" applyNumberFormat="1" applyFont="1" applyAlignment="1" applyProtection="1">
      <alignment/>
      <protection locked="0"/>
    </xf>
    <xf numFmtId="181" fontId="20" fillId="0" borderId="0" xfId="0" applyNumberFormat="1" applyFont="1" applyAlignment="1" applyProtection="1">
      <alignment/>
      <protection locked="0"/>
    </xf>
    <xf numFmtId="181" fontId="15" fillId="0" borderId="0" xfId="0" applyNumberFormat="1" applyFont="1" applyAlignment="1" applyProtection="1">
      <alignment/>
      <protection locked="0"/>
    </xf>
    <xf numFmtId="180" fontId="20" fillId="0" borderId="0" xfId="0" applyNumberFormat="1" applyFont="1" applyAlignment="1" applyProtection="1">
      <alignment/>
      <protection locked="0"/>
    </xf>
    <xf numFmtId="3" fontId="4" fillId="0" borderId="0" xfId="0" applyNumberFormat="1" applyFont="1" applyFill="1" applyAlignment="1" applyProtection="1">
      <alignment horizontal="left"/>
      <protection/>
    </xf>
    <xf numFmtId="3" fontId="15" fillId="0" borderId="0" xfId="0" applyNumberFormat="1" applyFont="1" applyAlignment="1" applyProtection="1">
      <alignment/>
      <protection locked="0"/>
    </xf>
    <xf numFmtId="3" fontId="5" fillId="0" borderId="0" xfId="0" applyNumberFormat="1" applyFont="1" applyAlignment="1" applyProtection="1">
      <alignment/>
      <protection/>
    </xf>
    <xf numFmtId="181" fontId="26" fillId="0" borderId="0" xfId="0" applyNumberFormat="1" applyFont="1" applyAlignment="1" applyProtection="1">
      <alignment/>
      <protection locked="0"/>
    </xf>
    <xf numFmtId="180" fontId="15" fillId="0" borderId="0" xfId="58" applyNumberFormat="1" applyFont="1" applyAlignment="1" applyProtection="1">
      <alignment/>
      <protection locked="0"/>
    </xf>
    <xf numFmtId="0" fontId="4" fillId="0" borderId="0" xfId="55" applyFont="1" applyProtection="1">
      <alignment/>
      <protection/>
    </xf>
    <xf numFmtId="3" fontId="5" fillId="0" borderId="0" xfId="0" applyNumberFormat="1" applyFont="1" applyFill="1" applyAlignment="1" applyProtection="1">
      <alignment/>
      <protection locked="0"/>
    </xf>
    <xf numFmtId="176" fontId="0" fillId="0" borderId="0" xfId="0" applyFill="1" applyAlignment="1">
      <alignment/>
    </xf>
    <xf numFmtId="172" fontId="5" fillId="0" borderId="0" xfId="0" applyNumberFormat="1" applyFont="1" applyFill="1" applyAlignment="1">
      <alignment/>
    </xf>
    <xf numFmtId="172" fontId="5" fillId="0" borderId="0" xfId="0" applyNumberFormat="1" applyFont="1" applyFill="1" applyAlignment="1" applyProtection="1">
      <alignment/>
      <protection/>
    </xf>
    <xf numFmtId="176" fontId="7" fillId="0" borderId="0" xfId="0" applyFont="1" applyFill="1" applyAlignment="1">
      <alignment/>
    </xf>
    <xf numFmtId="10" fontId="5" fillId="0" borderId="0" xfId="0" applyNumberFormat="1" applyFont="1" applyFill="1" applyAlignment="1">
      <alignment/>
    </xf>
    <xf numFmtId="10" fontId="5" fillId="0" borderId="0" xfId="0" applyNumberFormat="1" applyFont="1" applyFill="1" applyAlignment="1" applyProtection="1">
      <alignment/>
      <protection locked="0"/>
    </xf>
    <xf numFmtId="176" fontId="7" fillId="0" borderId="0" xfId="0" applyFont="1" applyFill="1" applyAlignment="1" applyProtection="1">
      <alignment/>
      <protection/>
    </xf>
    <xf numFmtId="180" fontId="26" fillId="0" borderId="0" xfId="0" applyNumberFormat="1" applyFont="1" applyAlignment="1" applyProtection="1">
      <alignment wrapText="1"/>
      <protection locked="0"/>
    </xf>
    <xf numFmtId="176" fontId="1" fillId="33" borderId="0" xfId="0" applyFont="1" applyFill="1" applyAlignment="1" applyProtection="1">
      <alignment/>
      <protection/>
    </xf>
    <xf numFmtId="3" fontId="15" fillId="0" borderId="0" xfId="0" applyNumberFormat="1" applyFont="1" applyFill="1" applyAlignment="1" applyProtection="1">
      <alignment/>
      <protection/>
    </xf>
    <xf numFmtId="176" fontId="0" fillId="0" borderId="0" xfId="0" applyFill="1" applyAlignment="1" applyProtection="1">
      <alignment/>
      <protection/>
    </xf>
    <xf numFmtId="3" fontId="4" fillId="0" borderId="0" xfId="0" applyNumberFormat="1" applyFont="1" applyFill="1" applyAlignment="1" applyProtection="1">
      <alignment/>
      <protection/>
    </xf>
    <xf numFmtId="176" fontId="4" fillId="0" borderId="0" xfId="0" applyFont="1" applyFill="1" applyAlignment="1" applyProtection="1">
      <alignment/>
      <protection/>
    </xf>
    <xf numFmtId="9" fontId="5" fillId="0" borderId="0" xfId="58" applyFont="1" applyFill="1" applyAlignment="1" applyProtection="1">
      <alignment/>
      <protection locked="0"/>
    </xf>
    <xf numFmtId="3" fontId="27" fillId="0" borderId="0" xfId="0" applyNumberFormat="1" applyFont="1" applyAlignment="1" applyProtection="1">
      <alignment horizontal="left"/>
      <protection/>
    </xf>
    <xf numFmtId="176" fontId="28" fillId="0" borderId="0" xfId="0" applyFont="1" applyAlignment="1">
      <alignment/>
    </xf>
    <xf numFmtId="3" fontId="12" fillId="0" borderId="0" xfId="0" applyNumberFormat="1" applyFont="1" applyAlignment="1" applyProtection="1">
      <alignment horizontal="left"/>
      <protection/>
    </xf>
    <xf numFmtId="3" fontId="12" fillId="0" borderId="0" xfId="0" applyNumberFormat="1" applyFont="1" applyFill="1" applyAlignment="1" applyProtection="1">
      <alignment horizontal="left"/>
      <protection/>
    </xf>
    <xf numFmtId="180" fontId="15" fillId="0" borderId="0" xfId="58" applyNumberFormat="1" applyFont="1" applyAlignment="1" applyProtection="1">
      <alignment/>
      <protection/>
    </xf>
    <xf numFmtId="3" fontId="15" fillId="0" borderId="10" xfId="0" applyNumberFormat="1" applyFont="1" applyBorder="1" applyAlignment="1" applyProtection="1">
      <alignment/>
      <protection/>
    </xf>
    <xf numFmtId="180" fontId="15" fillId="0" borderId="10" xfId="58" applyNumberFormat="1" applyFont="1" applyBorder="1" applyAlignment="1" applyProtection="1">
      <alignment/>
      <protection/>
    </xf>
    <xf numFmtId="180" fontId="15" fillId="0" borderId="0" xfId="58" applyNumberFormat="1" applyFont="1" applyBorder="1" applyAlignment="1" applyProtection="1">
      <alignment/>
      <protection/>
    </xf>
    <xf numFmtId="3" fontId="5" fillId="33" borderId="0" xfId="0" applyNumberFormat="1" applyFont="1" applyFill="1" applyAlignment="1" applyProtection="1">
      <alignment horizontal="left" vertical="top" wrapText="1"/>
      <protection/>
    </xf>
    <xf numFmtId="180" fontId="20" fillId="0" borderId="0" xfId="0" applyNumberFormat="1" applyFont="1" applyAlignment="1" applyProtection="1">
      <alignment vertical="top" wrapText="1"/>
      <protection locked="0"/>
    </xf>
    <xf numFmtId="180" fontId="26" fillId="0" borderId="0" xfId="0" applyNumberFormat="1" applyFont="1" applyAlignment="1" applyProtection="1">
      <alignment vertical="top" wrapText="1"/>
      <protection locked="0"/>
    </xf>
    <xf numFmtId="180" fontId="26" fillId="0" borderId="0" xfId="58" applyNumberFormat="1" applyFont="1" applyAlignment="1" applyProtection="1">
      <alignment horizontal="left"/>
      <protection locked="0"/>
    </xf>
    <xf numFmtId="181" fontId="26" fillId="0" borderId="0" xfId="0" applyNumberFormat="1" applyFont="1" applyAlignment="1" applyProtection="1">
      <alignment horizontal="left"/>
      <protection locked="0"/>
    </xf>
    <xf numFmtId="3" fontId="29" fillId="33" borderId="0" xfId="0" applyNumberFormat="1" applyFont="1" applyFill="1" applyAlignment="1" applyProtection="1">
      <alignment horizontal="right"/>
      <protection/>
    </xf>
    <xf numFmtId="3" fontId="30" fillId="0" borderId="0" xfId="0" applyNumberFormat="1" applyFont="1" applyAlignment="1" applyProtection="1">
      <alignment/>
      <protection/>
    </xf>
    <xf numFmtId="3" fontId="30" fillId="0" borderId="0" xfId="0" applyNumberFormat="1" applyFont="1" applyAlignment="1" applyProtection="1">
      <alignment horizontal="right"/>
      <protection/>
    </xf>
    <xf numFmtId="3" fontId="30" fillId="0" borderId="0" xfId="0" applyNumberFormat="1" applyFont="1" applyBorder="1" applyAlignment="1" applyProtection="1">
      <alignment horizontal="right"/>
      <protection/>
    </xf>
    <xf numFmtId="177" fontId="4" fillId="33" borderId="0" xfId="0" applyNumberFormat="1" applyFont="1" applyFill="1" applyAlignment="1" applyProtection="1" quotePrefix="1">
      <alignment horizontal="right" vertical="top"/>
      <protection/>
    </xf>
    <xf numFmtId="3" fontId="15" fillId="0" borderId="0" xfId="0" applyNumberFormat="1" applyFont="1" applyBorder="1" applyAlignment="1" applyProtection="1">
      <alignment/>
      <protection/>
    </xf>
    <xf numFmtId="0" fontId="12" fillId="0" borderId="0" xfId="55" applyFont="1" applyFill="1" applyAlignment="1" applyProtection="1">
      <alignment horizontal="right"/>
      <protection/>
    </xf>
    <xf numFmtId="0" fontId="12" fillId="0" borderId="0" xfId="55" applyFont="1" applyAlignment="1" applyProtection="1">
      <alignment horizontal="right"/>
      <protection/>
    </xf>
    <xf numFmtId="0" fontId="12" fillId="0" borderId="0" xfId="55" applyFont="1" applyProtection="1">
      <alignment/>
      <protection/>
    </xf>
    <xf numFmtId="0" fontId="12" fillId="0" borderId="0" xfId="55" applyFont="1" applyFill="1" applyAlignment="1">
      <alignment horizontal="right"/>
      <protection/>
    </xf>
    <xf numFmtId="0" fontId="12" fillId="0" borderId="0" xfId="55" applyFont="1" applyAlignment="1">
      <alignment horizontal="right"/>
      <protection/>
    </xf>
    <xf numFmtId="0" fontId="12" fillId="0" borderId="0" xfId="55" applyFont="1">
      <alignment/>
      <protection/>
    </xf>
    <xf numFmtId="3" fontId="30" fillId="0" borderId="0" xfId="0" applyNumberFormat="1" applyFont="1" applyBorder="1" applyAlignment="1" applyProtection="1">
      <alignment/>
      <protection/>
    </xf>
    <xf numFmtId="3" fontId="30" fillId="0" borderId="10" xfId="0" applyNumberFormat="1" applyFont="1" applyBorder="1" applyAlignment="1" applyProtection="1">
      <alignment/>
      <protection/>
    </xf>
    <xf numFmtId="0" fontId="31" fillId="0" borderId="0" xfId="55" applyFont="1" applyFill="1" applyAlignment="1">
      <alignment horizontal="left"/>
      <protection/>
    </xf>
    <xf numFmtId="3" fontId="15" fillId="0" borderId="11" xfId="0" applyNumberFormat="1" applyFont="1" applyBorder="1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LS81.XLS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F73"/>
  <sheetViews>
    <sheetView zoomScalePageLayoutView="0" workbookViewId="0" topLeftCell="A1">
      <pane xSplit="3675" ySplit="1260" topLeftCell="A1" activePane="bottomRight" state="split"/>
      <selection pane="topLeft" activeCell="BK43" sqref="BK43:BM43"/>
      <selection pane="topRight" activeCell="BM1" sqref="BM1:BM16384"/>
      <selection pane="bottomLeft" activeCell="A60" sqref="A60:IV65"/>
      <selection pane="bottomRight" activeCell="A3" sqref="A3"/>
    </sheetView>
  </sheetViews>
  <sheetFormatPr defaultColWidth="9.00390625" defaultRowHeight="12.75"/>
  <cols>
    <col min="1" max="1" width="27.00390625" style="0" customWidth="1"/>
    <col min="3" max="3" width="9.125" style="0" customWidth="1"/>
    <col min="63" max="63" width="9.50390625" style="0" customWidth="1"/>
    <col min="64" max="64" width="2.625" style="0" customWidth="1"/>
    <col min="65" max="65" width="9.625" style="0" customWidth="1"/>
    <col min="66" max="66" width="10.00390625" style="0" customWidth="1"/>
    <col min="67" max="67" width="6.375" style="0" customWidth="1"/>
  </cols>
  <sheetData>
    <row r="1" spans="1:67" ht="12.75">
      <c r="A1" s="55"/>
      <c r="B1" s="52" t="s">
        <v>0</v>
      </c>
      <c r="C1" s="52" t="s">
        <v>0</v>
      </c>
      <c r="D1" s="52" t="s">
        <v>0</v>
      </c>
      <c r="E1" s="52" t="s">
        <v>1</v>
      </c>
      <c r="F1" s="52" t="s">
        <v>0</v>
      </c>
      <c r="G1" s="52" t="s">
        <v>0</v>
      </c>
      <c r="H1" s="52" t="s">
        <v>2</v>
      </c>
      <c r="I1" s="52" t="s">
        <v>0</v>
      </c>
      <c r="J1" s="52" t="s">
        <v>3</v>
      </c>
      <c r="K1" s="52" t="s">
        <v>0</v>
      </c>
      <c r="L1" s="52" t="s">
        <v>0</v>
      </c>
      <c r="M1" s="52" t="s">
        <v>0</v>
      </c>
      <c r="N1" s="52" t="s">
        <v>0</v>
      </c>
      <c r="O1" s="52" t="s">
        <v>0</v>
      </c>
      <c r="P1" s="53" t="s">
        <v>0</v>
      </c>
      <c r="Q1" s="52" t="s">
        <v>0</v>
      </c>
      <c r="R1" s="52" t="s">
        <v>0</v>
      </c>
      <c r="S1" s="52" t="s">
        <v>5</v>
      </c>
      <c r="T1" s="52" t="s">
        <v>0</v>
      </c>
      <c r="U1" s="52" t="s">
        <v>7</v>
      </c>
      <c r="V1" s="52" t="s">
        <v>0</v>
      </c>
      <c r="W1" s="52" t="s">
        <v>418</v>
      </c>
      <c r="X1" s="52" t="s">
        <v>0</v>
      </c>
      <c r="Y1" s="52" t="s">
        <v>6</v>
      </c>
      <c r="Z1" s="52" t="s">
        <v>0</v>
      </c>
      <c r="AA1" s="52" t="s">
        <v>0</v>
      </c>
      <c r="AB1" s="52" t="s">
        <v>8</v>
      </c>
      <c r="AC1" s="52" t="s">
        <v>0</v>
      </c>
      <c r="AD1" s="52" t="s">
        <v>0</v>
      </c>
      <c r="AE1" s="52" t="s">
        <v>6</v>
      </c>
      <c r="AF1" s="52" t="s">
        <v>0</v>
      </c>
      <c r="AG1" s="52" t="s">
        <v>0</v>
      </c>
      <c r="AH1" s="52" t="s">
        <v>4</v>
      </c>
      <c r="AI1" s="52" t="s">
        <v>0</v>
      </c>
      <c r="AJ1" s="52" t="s">
        <v>0</v>
      </c>
      <c r="AK1" s="52" t="s">
        <v>0</v>
      </c>
      <c r="AL1" s="52" t="s">
        <v>0</v>
      </c>
      <c r="AM1" s="52" t="s">
        <v>4</v>
      </c>
      <c r="AN1" s="52" t="s">
        <v>0</v>
      </c>
      <c r="AO1" s="52" t="s">
        <v>0</v>
      </c>
      <c r="AP1" s="52" t="s">
        <v>4</v>
      </c>
      <c r="AQ1" s="52" t="s">
        <v>0</v>
      </c>
      <c r="AR1" s="52" t="s">
        <v>54</v>
      </c>
      <c r="AS1" s="52" t="s">
        <v>0</v>
      </c>
      <c r="AT1" s="52" t="s">
        <v>0</v>
      </c>
      <c r="AU1" s="52" t="s">
        <v>0</v>
      </c>
      <c r="AV1" s="52" t="s">
        <v>4</v>
      </c>
      <c r="AW1" s="52" t="s">
        <v>0</v>
      </c>
      <c r="AX1" s="52" t="s">
        <v>4</v>
      </c>
      <c r="AY1" s="52" t="s">
        <v>0</v>
      </c>
      <c r="AZ1" s="52" t="s">
        <v>4</v>
      </c>
      <c r="BA1" s="52" t="s">
        <v>6</v>
      </c>
      <c r="BB1" s="52" t="s">
        <v>0</v>
      </c>
      <c r="BC1" s="52" t="s">
        <v>0</v>
      </c>
      <c r="BD1" s="52" t="s">
        <v>0</v>
      </c>
      <c r="BE1" s="52" t="s">
        <v>4</v>
      </c>
      <c r="BF1" s="52" t="s">
        <v>9</v>
      </c>
      <c r="BG1" s="52" t="s">
        <v>0</v>
      </c>
      <c r="BH1" s="52" t="s">
        <v>0</v>
      </c>
      <c r="BI1" s="52" t="s">
        <v>0</v>
      </c>
      <c r="BK1" s="27" t="s">
        <v>10</v>
      </c>
      <c r="BL1" s="27"/>
      <c r="BM1" s="56" t="s">
        <v>0</v>
      </c>
      <c r="BN1" s="56" t="s">
        <v>0</v>
      </c>
      <c r="BO1" s="27"/>
    </row>
    <row r="2" spans="1:67" ht="12.75">
      <c r="A2" s="57" t="s">
        <v>11</v>
      </c>
      <c r="B2" s="52" t="s">
        <v>12</v>
      </c>
      <c r="C2" s="52" t="s">
        <v>14</v>
      </c>
      <c r="D2" s="52" t="s">
        <v>16</v>
      </c>
      <c r="E2" s="52" t="s">
        <v>15</v>
      </c>
      <c r="F2" s="52" t="s">
        <v>13</v>
      </c>
      <c r="G2" s="52" t="s">
        <v>17</v>
      </c>
      <c r="H2" s="52" t="s">
        <v>15</v>
      </c>
      <c r="I2" s="52" t="s">
        <v>431</v>
      </c>
      <c r="J2" s="52" t="s">
        <v>15</v>
      </c>
      <c r="K2" s="52" t="s">
        <v>352</v>
      </c>
      <c r="L2" s="52" t="s">
        <v>19</v>
      </c>
      <c r="M2" s="52" t="s">
        <v>20</v>
      </c>
      <c r="N2" s="52" t="s">
        <v>18</v>
      </c>
      <c r="O2" s="52" t="s">
        <v>22</v>
      </c>
      <c r="P2" s="53" t="s">
        <v>443</v>
      </c>
      <c r="Q2" s="52" t="s">
        <v>21</v>
      </c>
      <c r="R2" s="52" t="s">
        <v>23</v>
      </c>
      <c r="S2" s="52" t="s">
        <v>15</v>
      </c>
      <c r="T2" s="52" t="s">
        <v>24</v>
      </c>
      <c r="U2" s="52" t="s">
        <v>30</v>
      </c>
      <c r="V2" s="52" t="s">
        <v>25</v>
      </c>
      <c r="W2" s="52" t="s">
        <v>49</v>
      </c>
      <c r="X2" s="52" t="s">
        <v>14</v>
      </c>
      <c r="Y2" s="52" t="s">
        <v>29</v>
      </c>
      <c r="Z2" s="52" t="s">
        <v>433</v>
      </c>
      <c r="AA2" s="52" t="s">
        <v>76</v>
      </c>
      <c r="AB2" s="52" t="s">
        <v>15</v>
      </c>
      <c r="AC2" s="52" t="s">
        <v>26</v>
      </c>
      <c r="AD2" s="52" t="s">
        <v>14</v>
      </c>
      <c r="AE2" s="52" t="s">
        <v>29</v>
      </c>
      <c r="AF2" s="52" t="s">
        <v>27</v>
      </c>
      <c r="AG2" s="52" t="s">
        <v>28</v>
      </c>
      <c r="AH2" s="52" t="s">
        <v>14</v>
      </c>
      <c r="AI2" s="52" t="s">
        <v>32</v>
      </c>
      <c r="AJ2" s="52" t="s">
        <v>31</v>
      </c>
      <c r="AK2" s="52" t="s">
        <v>33</v>
      </c>
      <c r="AL2" s="52" t="s">
        <v>35</v>
      </c>
      <c r="AM2" s="52" t="s">
        <v>34</v>
      </c>
      <c r="AN2" s="52" t="s">
        <v>37</v>
      </c>
      <c r="AO2" s="52" t="s">
        <v>36</v>
      </c>
      <c r="AP2" s="52" t="s">
        <v>38</v>
      </c>
      <c r="AQ2" s="52" t="s">
        <v>40</v>
      </c>
      <c r="AR2" s="52" t="s">
        <v>15</v>
      </c>
      <c r="AS2" s="52" t="s">
        <v>39</v>
      </c>
      <c r="AT2" s="52" t="s">
        <v>41</v>
      </c>
      <c r="AU2" s="52" t="s">
        <v>43</v>
      </c>
      <c r="AV2" s="52" t="s">
        <v>42</v>
      </c>
      <c r="AW2" s="52" t="s">
        <v>14</v>
      </c>
      <c r="AX2" s="52" t="s">
        <v>44</v>
      </c>
      <c r="AY2" s="52" t="s">
        <v>14</v>
      </c>
      <c r="AZ2" s="52" t="s">
        <v>413</v>
      </c>
      <c r="BA2" s="52" t="s">
        <v>29</v>
      </c>
      <c r="BB2" s="52" t="s">
        <v>45</v>
      </c>
      <c r="BC2" s="52" t="s">
        <v>46</v>
      </c>
      <c r="BD2" s="52" t="s">
        <v>48</v>
      </c>
      <c r="BE2" s="52" t="s">
        <v>47</v>
      </c>
      <c r="BF2" s="52" t="s">
        <v>49</v>
      </c>
      <c r="BG2" s="52" t="s">
        <v>50</v>
      </c>
      <c r="BH2" s="52" t="s">
        <v>51</v>
      </c>
      <c r="BI2" s="52" t="s">
        <v>52</v>
      </c>
      <c r="BK2" s="27" t="s">
        <v>53</v>
      </c>
      <c r="BL2" s="27"/>
      <c r="BM2" s="56" t="s">
        <v>429</v>
      </c>
      <c r="BN2" s="56" t="s">
        <v>479</v>
      </c>
      <c r="BO2" s="27"/>
    </row>
    <row r="3" spans="1:67" ht="12.75">
      <c r="A3" s="55"/>
      <c r="B3" s="52" t="s">
        <v>55</v>
      </c>
      <c r="C3" s="52" t="s">
        <v>477</v>
      </c>
      <c r="D3" s="52"/>
      <c r="E3" s="52" t="s">
        <v>29</v>
      </c>
      <c r="F3" s="52"/>
      <c r="G3" s="52" t="s">
        <v>57</v>
      </c>
      <c r="H3" s="52" t="s">
        <v>56</v>
      </c>
      <c r="I3" s="52" t="s">
        <v>70</v>
      </c>
      <c r="J3" s="52" t="s">
        <v>29</v>
      </c>
      <c r="K3" s="52"/>
      <c r="L3" s="52" t="s">
        <v>57</v>
      </c>
      <c r="M3" s="52" t="s">
        <v>58</v>
      </c>
      <c r="N3" s="52"/>
      <c r="O3" s="52"/>
      <c r="P3" s="53" t="s">
        <v>442</v>
      </c>
      <c r="Q3" s="52" t="s">
        <v>59</v>
      </c>
      <c r="R3" s="52" t="s">
        <v>415</v>
      </c>
      <c r="S3" s="52" t="s">
        <v>29</v>
      </c>
      <c r="T3" s="52" t="s">
        <v>57</v>
      </c>
      <c r="U3" s="52" t="s">
        <v>66</v>
      </c>
      <c r="V3" s="52" t="s">
        <v>287</v>
      </c>
      <c r="W3" s="52" t="s">
        <v>419</v>
      </c>
      <c r="X3" s="52" t="s">
        <v>444</v>
      </c>
      <c r="Y3" s="52" t="s">
        <v>82</v>
      </c>
      <c r="Z3" s="52" t="s">
        <v>434</v>
      </c>
      <c r="AA3" s="52"/>
      <c r="AB3" s="52" t="s">
        <v>78</v>
      </c>
      <c r="AC3" s="52" t="s">
        <v>61</v>
      </c>
      <c r="AD3" s="52" t="s">
        <v>62</v>
      </c>
      <c r="AE3" s="52" t="s">
        <v>65</v>
      </c>
      <c r="AF3" s="52"/>
      <c r="AG3" s="52" t="s">
        <v>63</v>
      </c>
      <c r="AH3" s="52" t="s">
        <v>64</v>
      </c>
      <c r="AI3" s="52" t="s">
        <v>68</v>
      </c>
      <c r="AJ3" s="52" t="s">
        <v>67</v>
      </c>
      <c r="AK3" s="52"/>
      <c r="AL3" s="52" t="s">
        <v>70</v>
      </c>
      <c r="AM3" s="52" t="s">
        <v>69</v>
      </c>
      <c r="AN3" s="52" t="s">
        <v>72</v>
      </c>
      <c r="AO3" s="52" t="s">
        <v>71</v>
      </c>
      <c r="AP3" s="52" t="s">
        <v>439</v>
      </c>
      <c r="AQ3" s="52" t="s">
        <v>60</v>
      </c>
      <c r="AR3" s="52" t="s">
        <v>29</v>
      </c>
      <c r="AS3" s="52" t="s">
        <v>74</v>
      </c>
      <c r="AT3" s="52" t="s">
        <v>75</v>
      </c>
      <c r="AU3" s="52" t="s">
        <v>73</v>
      </c>
      <c r="AV3" s="52" t="s">
        <v>76</v>
      </c>
      <c r="AW3" s="52" t="s">
        <v>435</v>
      </c>
      <c r="AX3" s="52" t="s">
        <v>77</v>
      </c>
      <c r="AY3" s="52" t="s">
        <v>79</v>
      </c>
      <c r="AZ3" s="52" t="s">
        <v>81</v>
      </c>
      <c r="BA3" s="52" t="s">
        <v>80</v>
      </c>
      <c r="BB3" s="52" t="s">
        <v>83</v>
      </c>
      <c r="BC3" s="52" t="s">
        <v>84</v>
      </c>
      <c r="BD3" s="52" t="s">
        <v>86</v>
      </c>
      <c r="BE3" s="52" t="s">
        <v>85</v>
      </c>
      <c r="BF3" s="52" t="s">
        <v>87</v>
      </c>
      <c r="BG3" s="52" t="s">
        <v>88</v>
      </c>
      <c r="BH3" s="52" t="s">
        <v>89</v>
      </c>
      <c r="BI3" s="52" t="s">
        <v>90</v>
      </c>
      <c r="BK3" s="27" t="s">
        <v>91</v>
      </c>
      <c r="BL3" s="27"/>
      <c r="BM3" s="56" t="s">
        <v>428</v>
      </c>
      <c r="BN3" s="56" t="s">
        <v>428</v>
      </c>
      <c r="BO3" s="27"/>
    </row>
    <row r="4" spans="1:67" ht="12.75">
      <c r="A4" s="58"/>
      <c r="B4" s="54" t="s">
        <v>92</v>
      </c>
      <c r="C4" s="54" t="s">
        <v>93</v>
      </c>
      <c r="D4" s="54" t="s">
        <v>94</v>
      </c>
      <c r="E4" s="54" t="s">
        <v>95</v>
      </c>
      <c r="F4" s="54" t="s">
        <v>96</v>
      </c>
      <c r="G4" s="54" t="s">
        <v>97</v>
      </c>
      <c r="H4" s="54" t="s">
        <v>98</v>
      </c>
      <c r="I4" s="54" t="s">
        <v>99</v>
      </c>
      <c r="J4" s="54" t="s">
        <v>283</v>
      </c>
      <c r="K4" s="54" t="s">
        <v>284</v>
      </c>
      <c r="L4" s="54" t="s">
        <v>285</v>
      </c>
      <c r="M4" s="54" t="s">
        <v>100</v>
      </c>
      <c r="N4" s="54" t="s">
        <v>101</v>
      </c>
      <c r="O4" s="54" t="s">
        <v>102</v>
      </c>
      <c r="P4" s="54" t="s">
        <v>103</v>
      </c>
      <c r="Q4" s="54" t="s">
        <v>104</v>
      </c>
      <c r="R4" s="54" t="s">
        <v>105</v>
      </c>
      <c r="S4" s="54" t="s">
        <v>106</v>
      </c>
      <c r="T4" s="54" t="s">
        <v>107</v>
      </c>
      <c r="U4" s="54" t="s">
        <v>108</v>
      </c>
      <c r="V4" s="54" t="s">
        <v>109</v>
      </c>
      <c r="W4" s="54" t="s">
        <v>110</v>
      </c>
      <c r="X4" s="54" t="s">
        <v>111</v>
      </c>
      <c r="Y4" s="54" t="s">
        <v>112</v>
      </c>
      <c r="Z4" s="54" t="s">
        <v>113</v>
      </c>
      <c r="AA4" s="54" t="s">
        <v>498</v>
      </c>
      <c r="AB4" s="54" t="s">
        <v>114</v>
      </c>
      <c r="AC4" s="54" t="s">
        <v>115</v>
      </c>
      <c r="AD4" s="54" t="s">
        <v>116</v>
      </c>
      <c r="AE4" s="54" t="s">
        <v>117</v>
      </c>
      <c r="AF4" s="54" t="s">
        <v>118</v>
      </c>
      <c r="AG4" s="54" t="s">
        <v>119</v>
      </c>
      <c r="AH4" s="54" t="s">
        <v>120</v>
      </c>
      <c r="AI4" s="54" t="s">
        <v>121</v>
      </c>
      <c r="AJ4" s="54" t="s">
        <v>122</v>
      </c>
      <c r="AK4" s="54" t="s">
        <v>123</v>
      </c>
      <c r="AL4" s="54" t="s">
        <v>124</v>
      </c>
      <c r="AM4" s="54" t="s">
        <v>125</v>
      </c>
      <c r="AN4" s="54" t="s">
        <v>126</v>
      </c>
      <c r="AO4" s="54" t="s">
        <v>127</v>
      </c>
      <c r="AP4" s="54" t="s">
        <v>128</v>
      </c>
      <c r="AQ4" s="54" t="s">
        <v>129</v>
      </c>
      <c r="AR4" s="54" t="s">
        <v>130</v>
      </c>
      <c r="AS4" s="54" t="s">
        <v>131</v>
      </c>
      <c r="AT4" s="54" t="s">
        <v>132</v>
      </c>
      <c r="AU4" s="54" t="s">
        <v>133</v>
      </c>
      <c r="AV4" s="54" t="s">
        <v>134</v>
      </c>
      <c r="AW4" s="54" t="s">
        <v>135</v>
      </c>
      <c r="AX4" s="54" t="s">
        <v>136</v>
      </c>
      <c r="AY4" s="54" t="s">
        <v>137</v>
      </c>
      <c r="AZ4" s="54" t="s">
        <v>138</v>
      </c>
      <c r="BA4" s="54" t="s">
        <v>139</v>
      </c>
      <c r="BB4" s="54" t="s">
        <v>289</v>
      </c>
      <c r="BC4" s="54" t="s">
        <v>140</v>
      </c>
      <c r="BD4" s="54" t="s">
        <v>141</v>
      </c>
      <c r="BE4" s="54" t="s">
        <v>142</v>
      </c>
      <c r="BF4" s="54" t="s">
        <v>143</v>
      </c>
      <c r="BG4" s="54" t="s">
        <v>144</v>
      </c>
      <c r="BH4" s="54" t="s">
        <v>550</v>
      </c>
      <c r="BI4" s="54" t="s">
        <v>551</v>
      </c>
      <c r="BK4" s="85"/>
      <c r="BL4" s="85"/>
      <c r="BM4" s="85" t="s">
        <v>540</v>
      </c>
      <c r="BN4" s="85" t="s">
        <v>552</v>
      </c>
      <c r="BO4" s="85"/>
    </row>
    <row r="5" spans="1:67" ht="12.75">
      <c r="A5" s="60" t="s">
        <v>326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K5" s="59"/>
      <c r="BL5" s="59"/>
      <c r="BM5" s="59"/>
      <c r="BN5" s="59"/>
      <c r="BO5" s="59"/>
    </row>
    <row r="6" spans="1:67" ht="6" customHeight="1">
      <c r="A6" s="60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K6" s="59"/>
      <c r="BL6" s="59"/>
      <c r="BM6" s="59"/>
      <c r="BN6" s="59"/>
      <c r="BO6" s="59"/>
    </row>
    <row r="7" spans="1:67" ht="12.75">
      <c r="A7" s="95" t="s">
        <v>389</v>
      </c>
      <c r="B7" s="41">
        <v>0</v>
      </c>
      <c r="C7" s="41">
        <v>0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41">
        <v>0</v>
      </c>
      <c r="J7" s="41">
        <v>0</v>
      </c>
      <c r="K7" s="41">
        <v>0</v>
      </c>
      <c r="L7" s="41">
        <v>0</v>
      </c>
      <c r="M7" s="41">
        <v>0</v>
      </c>
      <c r="N7" s="41">
        <v>0</v>
      </c>
      <c r="O7" s="41">
        <v>0</v>
      </c>
      <c r="P7" s="41">
        <v>0</v>
      </c>
      <c r="Q7" s="41">
        <v>0</v>
      </c>
      <c r="R7" s="41">
        <v>0</v>
      </c>
      <c r="S7" s="41">
        <v>0</v>
      </c>
      <c r="T7" s="41">
        <v>0</v>
      </c>
      <c r="U7" s="41">
        <v>0</v>
      </c>
      <c r="V7" s="41">
        <v>0</v>
      </c>
      <c r="W7" s="41">
        <v>0</v>
      </c>
      <c r="X7" s="41">
        <v>0</v>
      </c>
      <c r="Y7" s="41">
        <v>0</v>
      </c>
      <c r="Z7" s="41">
        <v>0</v>
      </c>
      <c r="AA7" s="41">
        <v>0</v>
      </c>
      <c r="AB7" s="41">
        <v>0</v>
      </c>
      <c r="AC7" s="41">
        <v>0</v>
      </c>
      <c r="AD7" s="41">
        <v>0</v>
      </c>
      <c r="AE7" s="41">
        <v>0</v>
      </c>
      <c r="AF7" s="41">
        <v>0</v>
      </c>
      <c r="AG7" s="41">
        <v>0</v>
      </c>
      <c r="AH7" s="41">
        <v>0</v>
      </c>
      <c r="AI7" s="41">
        <v>0</v>
      </c>
      <c r="AJ7" s="41">
        <v>0</v>
      </c>
      <c r="AK7" s="41">
        <v>0</v>
      </c>
      <c r="AL7" s="41">
        <v>0</v>
      </c>
      <c r="AM7" s="41">
        <v>0</v>
      </c>
      <c r="AN7" s="41">
        <v>0</v>
      </c>
      <c r="AO7" s="41">
        <v>0</v>
      </c>
      <c r="AP7" s="41">
        <v>0</v>
      </c>
      <c r="AQ7" s="41">
        <v>0</v>
      </c>
      <c r="AR7" s="41">
        <v>0</v>
      </c>
      <c r="AS7" s="41">
        <v>0</v>
      </c>
      <c r="AT7" s="41">
        <v>0</v>
      </c>
      <c r="AU7" s="41">
        <v>0</v>
      </c>
      <c r="AV7" s="41">
        <v>0</v>
      </c>
      <c r="AW7" s="41">
        <v>0</v>
      </c>
      <c r="AX7" s="41">
        <v>0</v>
      </c>
      <c r="AY7" s="41">
        <v>0</v>
      </c>
      <c r="AZ7" s="41">
        <v>0</v>
      </c>
      <c r="BA7" s="41">
        <v>0</v>
      </c>
      <c r="BB7" s="41">
        <v>0</v>
      </c>
      <c r="BC7" s="41">
        <v>0</v>
      </c>
      <c r="BD7" s="41">
        <v>0</v>
      </c>
      <c r="BE7" s="41">
        <v>0</v>
      </c>
      <c r="BF7" s="41">
        <v>0</v>
      </c>
      <c r="BG7" s="41">
        <v>0</v>
      </c>
      <c r="BH7" s="41">
        <v>0</v>
      </c>
      <c r="BI7" s="41">
        <v>0</v>
      </c>
      <c r="BK7" s="41">
        <f>SUM(B7:BJ7)</f>
        <v>0</v>
      </c>
      <c r="BL7" s="41"/>
      <c r="BM7" s="41">
        <f>C7+V7+AD7+AH7+AN7+AP7+AS7+AU7+AW7+AZ7+BB7+BD7+BE7+BG7</f>
        <v>0</v>
      </c>
      <c r="BN7" s="41">
        <f>B7+D7+E7+F7+G7+H7+I7+J7+K7+L7+M7+N7+O7+P7+Q7+R7+S7+T7+U7+W7+X7+Y7+Z7+AA7+AB7+AC7+AE7+AF7+AG7+AI7+AJ7+AK7+AM7+AL7+AO7+AQ7+AT7+AV7+AX7+AY7+BA7+BC7+BH7+BI7+AR7+BF7</f>
        <v>0</v>
      </c>
      <c r="BO7" s="41"/>
    </row>
    <row r="8" spans="1:66" ht="6" customHeight="1">
      <c r="A8" s="60"/>
      <c r="BK8" s="41"/>
      <c r="BL8" s="41"/>
      <c r="BM8" s="41"/>
      <c r="BN8" s="41"/>
    </row>
    <row r="9" spans="1:66" ht="12.75">
      <c r="A9" s="60" t="s">
        <v>390</v>
      </c>
      <c r="BK9" s="41"/>
      <c r="BL9" s="41"/>
      <c r="BM9" s="41"/>
      <c r="BN9" s="41"/>
    </row>
    <row r="10" spans="1:67" ht="12.75">
      <c r="A10" s="62" t="s">
        <v>351</v>
      </c>
      <c r="B10" s="47">
        <v>221537.94</v>
      </c>
      <c r="C10" s="47">
        <v>129159.3</v>
      </c>
      <c r="D10" s="47">
        <v>111345.732</v>
      </c>
      <c r="E10" s="47">
        <v>102009.227</v>
      </c>
      <c r="F10" s="47">
        <v>38249.789</v>
      </c>
      <c r="G10" s="47">
        <v>0</v>
      </c>
      <c r="H10" s="47">
        <v>0</v>
      </c>
      <c r="I10" s="47">
        <v>0</v>
      </c>
      <c r="J10" s="47">
        <v>64603.163</v>
      </c>
      <c r="K10" s="47">
        <v>33014.072</v>
      </c>
      <c r="L10" s="47">
        <v>28509.866</v>
      </c>
      <c r="M10" s="47">
        <v>10975.03</v>
      </c>
      <c r="N10" s="47">
        <v>0</v>
      </c>
      <c r="O10" s="47">
        <v>0</v>
      </c>
      <c r="P10" s="47">
        <v>0</v>
      </c>
      <c r="Q10" s="47">
        <v>0</v>
      </c>
      <c r="R10" s="47">
        <v>24974.846</v>
      </c>
      <c r="S10" s="47">
        <v>0</v>
      </c>
      <c r="T10" s="47">
        <v>0</v>
      </c>
      <c r="U10" s="47">
        <v>0</v>
      </c>
      <c r="V10" s="47">
        <v>14351.033</v>
      </c>
      <c r="W10" s="47">
        <v>0</v>
      </c>
      <c r="X10" s="47">
        <v>0</v>
      </c>
      <c r="Y10" s="47">
        <v>0</v>
      </c>
      <c r="Z10" s="47">
        <v>0</v>
      </c>
      <c r="AA10" s="47">
        <v>5911.408</v>
      </c>
      <c r="AB10" s="47">
        <v>0</v>
      </c>
      <c r="AC10" s="47">
        <v>0</v>
      </c>
      <c r="AD10" s="47">
        <v>0</v>
      </c>
      <c r="AE10" s="47">
        <v>1994.954</v>
      </c>
      <c r="AF10" s="47">
        <v>0</v>
      </c>
      <c r="AG10" s="47">
        <v>0</v>
      </c>
      <c r="AH10" s="47">
        <v>0</v>
      </c>
      <c r="AI10" s="47">
        <v>0</v>
      </c>
      <c r="AJ10" s="47">
        <v>0</v>
      </c>
      <c r="AK10" s="47">
        <v>9831.683</v>
      </c>
      <c r="AL10" s="47">
        <v>0</v>
      </c>
      <c r="AM10" s="47">
        <v>0</v>
      </c>
      <c r="AN10" s="47">
        <v>0</v>
      </c>
      <c r="AO10" s="47">
        <v>0</v>
      </c>
      <c r="AP10" s="47">
        <v>0</v>
      </c>
      <c r="AQ10" s="47">
        <v>0</v>
      </c>
      <c r="AR10" s="47">
        <v>0</v>
      </c>
      <c r="AS10" s="47">
        <v>0</v>
      </c>
      <c r="AT10" s="47">
        <v>15615.65</v>
      </c>
      <c r="AU10" s="47">
        <v>0</v>
      </c>
      <c r="AV10" s="47">
        <v>0</v>
      </c>
      <c r="AW10" s="47">
        <v>0</v>
      </c>
      <c r="AX10" s="47">
        <v>0</v>
      </c>
      <c r="AY10" s="47">
        <v>0</v>
      </c>
      <c r="AZ10" s="47">
        <v>0</v>
      </c>
      <c r="BA10" s="47">
        <v>0</v>
      </c>
      <c r="BB10" s="47">
        <v>0</v>
      </c>
      <c r="BC10" s="47">
        <v>0</v>
      </c>
      <c r="BD10" s="47">
        <v>0</v>
      </c>
      <c r="BE10" s="47">
        <v>0</v>
      </c>
      <c r="BF10" s="47">
        <v>0</v>
      </c>
      <c r="BG10" s="47">
        <v>0</v>
      </c>
      <c r="BH10" s="47">
        <v>0</v>
      </c>
      <c r="BI10" s="47">
        <v>0</v>
      </c>
      <c r="BK10" s="41">
        <f aca="true" t="shared" si="0" ref="BK10:BK15">SUM(B10:BJ10)</f>
        <v>812083.6930000003</v>
      </c>
      <c r="BL10" s="41"/>
      <c r="BM10" s="41">
        <f aca="true" t="shared" si="1" ref="BM10:BM15">C10+V10+AD10+AH10+AN10+AP10+AS10+AU10+AW10+AZ10+BB10+BD10+BE10+BG10</f>
        <v>143510.333</v>
      </c>
      <c r="BN10" s="41">
        <f aca="true" t="shared" si="2" ref="BN10:BN15">B10+D10+E10+F10+G10+H10+I10+J10+K10+L10+M10+N10+O10+P10+Q10+R10+S10+T10+U10+W10+X10+Y10+Z10+AA10+AB10+AC10+AE10+AF10+AG10+AI10+AJ10+AK10+AM10+AL10+AO10+AQ10+AT10+AV10+AX10+AY10+BA10+BC10+BH10+BI10+AR10+BF10</f>
        <v>668573.3600000002</v>
      </c>
      <c r="BO10" s="47"/>
    </row>
    <row r="11" spans="1:67" ht="12.75">
      <c r="A11" s="62" t="s">
        <v>457</v>
      </c>
      <c r="B11" s="47">
        <v>0</v>
      </c>
      <c r="C11" s="47">
        <v>0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v>0</v>
      </c>
      <c r="O11" s="47">
        <v>0</v>
      </c>
      <c r="P11" s="47">
        <v>0</v>
      </c>
      <c r="Q11" s="47">
        <v>0</v>
      </c>
      <c r="R11" s="47">
        <v>0</v>
      </c>
      <c r="S11" s="47">
        <v>0</v>
      </c>
      <c r="T11" s="47">
        <v>30479.597</v>
      </c>
      <c r="U11" s="47">
        <v>0</v>
      </c>
      <c r="V11" s="47">
        <v>0</v>
      </c>
      <c r="W11" s="47">
        <v>0</v>
      </c>
      <c r="X11" s="47">
        <v>0</v>
      </c>
      <c r="Y11" s="47">
        <v>0</v>
      </c>
      <c r="Z11" s="47">
        <v>0</v>
      </c>
      <c r="AA11" s="47">
        <v>0</v>
      </c>
      <c r="AB11" s="47">
        <v>0</v>
      </c>
      <c r="AC11" s="47">
        <v>0</v>
      </c>
      <c r="AD11" s="47">
        <v>0</v>
      </c>
      <c r="AE11" s="47">
        <v>0</v>
      </c>
      <c r="AF11" s="47">
        <v>0</v>
      </c>
      <c r="AG11" s="47">
        <v>0</v>
      </c>
      <c r="AH11" s="47">
        <v>0</v>
      </c>
      <c r="AI11" s="47">
        <v>0</v>
      </c>
      <c r="AJ11" s="47">
        <v>0</v>
      </c>
      <c r="AK11" s="47">
        <v>0</v>
      </c>
      <c r="AL11" s="47">
        <v>0</v>
      </c>
      <c r="AM11" s="47">
        <v>0</v>
      </c>
      <c r="AN11" s="47">
        <v>0</v>
      </c>
      <c r="AO11" s="47">
        <v>0</v>
      </c>
      <c r="AP11" s="47">
        <v>0</v>
      </c>
      <c r="AQ11" s="47">
        <v>0</v>
      </c>
      <c r="AR11" s="47">
        <v>0</v>
      </c>
      <c r="AS11" s="47">
        <v>0</v>
      </c>
      <c r="AT11" s="47">
        <v>0</v>
      </c>
      <c r="AU11" s="47">
        <v>0</v>
      </c>
      <c r="AV11" s="47">
        <v>0</v>
      </c>
      <c r="AW11" s="47">
        <v>0</v>
      </c>
      <c r="AX11" s="47">
        <v>0</v>
      </c>
      <c r="AY11" s="47">
        <v>0</v>
      </c>
      <c r="AZ11" s="47">
        <v>0</v>
      </c>
      <c r="BA11" s="47">
        <v>0</v>
      </c>
      <c r="BB11" s="47">
        <v>0</v>
      </c>
      <c r="BC11" s="47">
        <v>0</v>
      </c>
      <c r="BD11" s="47">
        <v>0</v>
      </c>
      <c r="BE11" s="47">
        <v>0</v>
      </c>
      <c r="BF11" s="47">
        <v>0</v>
      </c>
      <c r="BG11" s="47">
        <v>0</v>
      </c>
      <c r="BH11" s="47">
        <v>0</v>
      </c>
      <c r="BI11" s="47">
        <v>0</v>
      </c>
      <c r="BK11" s="41">
        <f t="shared" si="0"/>
        <v>30479.597</v>
      </c>
      <c r="BL11" s="41"/>
      <c r="BM11" s="41">
        <f t="shared" si="1"/>
        <v>0</v>
      </c>
      <c r="BN11" s="41">
        <f t="shared" si="2"/>
        <v>30479.597</v>
      </c>
      <c r="BO11" s="47"/>
    </row>
    <row r="12" spans="1:67" ht="12.75">
      <c r="A12" s="62" t="s">
        <v>458</v>
      </c>
      <c r="B12" s="47">
        <v>0</v>
      </c>
      <c r="C12" s="47">
        <v>0</v>
      </c>
      <c r="D12" s="47">
        <v>0</v>
      </c>
      <c r="E12" s="47">
        <v>45496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v>0</v>
      </c>
      <c r="P12" s="47">
        <v>0</v>
      </c>
      <c r="Q12" s="47">
        <v>0</v>
      </c>
      <c r="R12" s="47">
        <v>0</v>
      </c>
      <c r="S12" s="47">
        <v>0</v>
      </c>
      <c r="T12" s="47">
        <v>0</v>
      </c>
      <c r="U12" s="47">
        <v>0</v>
      </c>
      <c r="V12" s="47">
        <v>0</v>
      </c>
      <c r="W12" s="47">
        <v>0</v>
      </c>
      <c r="X12" s="47">
        <v>0</v>
      </c>
      <c r="Y12" s="47">
        <v>0</v>
      </c>
      <c r="Z12" s="47">
        <v>0</v>
      </c>
      <c r="AA12" s="47">
        <v>0</v>
      </c>
      <c r="AB12" s="47">
        <v>0</v>
      </c>
      <c r="AC12" s="47">
        <v>0</v>
      </c>
      <c r="AD12" s="47">
        <v>0</v>
      </c>
      <c r="AE12" s="47">
        <v>0</v>
      </c>
      <c r="AF12" s="47">
        <v>0</v>
      </c>
      <c r="AG12" s="47">
        <v>0</v>
      </c>
      <c r="AH12" s="47">
        <v>0</v>
      </c>
      <c r="AI12" s="47">
        <v>0</v>
      </c>
      <c r="AJ12" s="47">
        <v>0</v>
      </c>
      <c r="AK12" s="47">
        <v>0</v>
      </c>
      <c r="AL12" s="47">
        <v>0</v>
      </c>
      <c r="AM12" s="47">
        <v>0</v>
      </c>
      <c r="AN12" s="47">
        <v>0</v>
      </c>
      <c r="AO12" s="47">
        <v>0</v>
      </c>
      <c r="AP12" s="47">
        <v>0</v>
      </c>
      <c r="AQ12" s="47">
        <v>0</v>
      </c>
      <c r="AR12" s="47">
        <v>0</v>
      </c>
      <c r="AS12" s="47">
        <v>0</v>
      </c>
      <c r="AT12" s="47">
        <v>0</v>
      </c>
      <c r="AU12" s="47">
        <v>0</v>
      </c>
      <c r="AV12" s="47">
        <v>0</v>
      </c>
      <c r="AW12" s="47">
        <v>0</v>
      </c>
      <c r="AX12" s="47">
        <v>0</v>
      </c>
      <c r="AY12" s="47">
        <v>0</v>
      </c>
      <c r="AZ12" s="47">
        <v>0</v>
      </c>
      <c r="BA12" s="47">
        <v>0</v>
      </c>
      <c r="BB12" s="47">
        <v>0</v>
      </c>
      <c r="BC12" s="47">
        <v>0</v>
      </c>
      <c r="BD12" s="47">
        <v>0</v>
      </c>
      <c r="BE12" s="47">
        <v>0</v>
      </c>
      <c r="BF12" s="47">
        <v>0</v>
      </c>
      <c r="BG12" s="47">
        <v>0</v>
      </c>
      <c r="BH12" s="47">
        <v>0</v>
      </c>
      <c r="BI12" s="47">
        <v>0</v>
      </c>
      <c r="BK12" s="41">
        <f t="shared" si="0"/>
        <v>45496</v>
      </c>
      <c r="BL12" s="41"/>
      <c r="BM12" s="41">
        <f t="shared" si="1"/>
        <v>0</v>
      </c>
      <c r="BN12" s="41">
        <f t="shared" si="2"/>
        <v>45496</v>
      </c>
      <c r="BO12" s="47"/>
    </row>
    <row r="13" spans="1:67" ht="12.75">
      <c r="A13" s="62" t="s">
        <v>459</v>
      </c>
      <c r="B13" s="47">
        <v>0</v>
      </c>
      <c r="C13" s="47">
        <v>0</v>
      </c>
      <c r="D13" s="47">
        <v>0</v>
      </c>
      <c r="E13" s="47">
        <v>48375.631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v>0</v>
      </c>
      <c r="O13" s="47">
        <v>0</v>
      </c>
      <c r="P13" s="47">
        <v>0</v>
      </c>
      <c r="Q13" s="47">
        <v>0</v>
      </c>
      <c r="R13" s="47">
        <v>0</v>
      </c>
      <c r="S13" s="47">
        <v>0</v>
      </c>
      <c r="T13" s="47">
        <v>0</v>
      </c>
      <c r="U13" s="47">
        <v>0</v>
      </c>
      <c r="V13" s="47">
        <v>0</v>
      </c>
      <c r="W13" s="47">
        <v>0</v>
      </c>
      <c r="X13" s="47">
        <v>0</v>
      </c>
      <c r="Y13" s="47">
        <v>0</v>
      </c>
      <c r="Z13" s="47">
        <v>0</v>
      </c>
      <c r="AA13" s="47">
        <v>0</v>
      </c>
      <c r="AB13" s="47">
        <v>0</v>
      </c>
      <c r="AC13" s="47">
        <v>0</v>
      </c>
      <c r="AD13" s="47">
        <v>0</v>
      </c>
      <c r="AE13" s="47">
        <v>0</v>
      </c>
      <c r="AF13" s="47">
        <v>0</v>
      </c>
      <c r="AG13" s="47">
        <v>0</v>
      </c>
      <c r="AH13" s="47">
        <v>0</v>
      </c>
      <c r="AI13" s="47">
        <v>0</v>
      </c>
      <c r="AJ13" s="47">
        <v>0</v>
      </c>
      <c r="AK13" s="47">
        <v>0</v>
      </c>
      <c r="AL13" s="47">
        <v>0</v>
      </c>
      <c r="AM13" s="47">
        <v>0</v>
      </c>
      <c r="AN13" s="47">
        <v>0</v>
      </c>
      <c r="AO13" s="47">
        <v>0</v>
      </c>
      <c r="AP13" s="47">
        <v>0</v>
      </c>
      <c r="AQ13" s="47">
        <v>0</v>
      </c>
      <c r="AR13" s="47">
        <v>0</v>
      </c>
      <c r="AS13" s="47">
        <v>0</v>
      </c>
      <c r="AT13" s="47">
        <v>0</v>
      </c>
      <c r="AU13" s="47">
        <v>0</v>
      </c>
      <c r="AV13" s="47">
        <v>0</v>
      </c>
      <c r="AW13" s="47">
        <v>0</v>
      </c>
      <c r="AX13" s="47">
        <v>0</v>
      </c>
      <c r="AY13" s="47">
        <v>0</v>
      </c>
      <c r="AZ13" s="47">
        <v>0</v>
      </c>
      <c r="BA13" s="47">
        <v>0</v>
      </c>
      <c r="BB13" s="47">
        <v>0</v>
      </c>
      <c r="BC13" s="47">
        <v>0</v>
      </c>
      <c r="BD13" s="47">
        <v>0</v>
      </c>
      <c r="BE13" s="47">
        <v>0</v>
      </c>
      <c r="BF13" s="47">
        <v>0</v>
      </c>
      <c r="BG13" s="47">
        <v>0</v>
      </c>
      <c r="BH13" s="47">
        <v>0</v>
      </c>
      <c r="BI13" s="47">
        <v>0</v>
      </c>
      <c r="BK13" s="41">
        <f t="shared" si="0"/>
        <v>48375.631</v>
      </c>
      <c r="BL13" s="41"/>
      <c r="BM13" s="41">
        <f t="shared" si="1"/>
        <v>0</v>
      </c>
      <c r="BN13" s="41">
        <f t="shared" si="2"/>
        <v>48375.631</v>
      </c>
      <c r="BO13" s="47"/>
    </row>
    <row r="14" spans="1:67" ht="12.75">
      <c r="A14" s="62" t="s">
        <v>460</v>
      </c>
      <c r="B14" s="47">
        <v>0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v>0</v>
      </c>
      <c r="P14" s="47">
        <v>0</v>
      </c>
      <c r="Q14" s="47">
        <v>0</v>
      </c>
      <c r="R14" s="47">
        <v>0</v>
      </c>
      <c r="S14" s="47">
        <v>0</v>
      </c>
      <c r="T14" s="47">
        <v>0</v>
      </c>
      <c r="U14" s="47">
        <v>0</v>
      </c>
      <c r="V14" s="47">
        <v>0</v>
      </c>
      <c r="W14" s="47">
        <v>0</v>
      </c>
      <c r="X14" s="47">
        <v>0</v>
      </c>
      <c r="Y14" s="47">
        <v>0</v>
      </c>
      <c r="Z14" s="47">
        <v>0</v>
      </c>
      <c r="AA14" s="47">
        <v>0</v>
      </c>
      <c r="AB14" s="47">
        <v>0</v>
      </c>
      <c r="AC14" s="47">
        <v>0</v>
      </c>
      <c r="AD14" s="47">
        <v>0</v>
      </c>
      <c r="AE14" s="47">
        <v>0</v>
      </c>
      <c r="AF14" s="47">
        <v>0</v>
      </c>
      <c r="AG14" s="47">
        <v>0</v>
      </c>
      <c r="AH14" s="47">
        <v>0</v>
      </c>
      <c r="AI14" s="47">
        <v>0</v>
      </c>
      <c r="AJ14" s="47">
        <v>0</v>
      </c>
      <c r="AK14" s="47">
        <v>0</v>
      </c>
      <c r="AL14" s="47">
        <v>0</v>
      </c>
      <c r="AM14" s="47">
        <v>0</v>
      </c>
      <c r="AN14" s="47">
        <v>0</v>
      </c>
      <c r="AO14" s="47">
        <v>0</v>
      </c>
      <c r="AP14" s="47">
        <v>0</v>
      </c>
      <c r="AQ14" s="47">
        <v>0</v>
      </c>
      <c r="AR14" s="47">
        <v>0</v>
      </c>
      <c r="AS14" s="47">
        <v>0</v>
      </c>
      <c r="AT14" s="47">
        <v>0</v>
      </c>
      <c r="AU14" s="47">
        <v>0</v>
      </c>
      <c r="AV14" s="47">
        <v>0</v>
      </c>
      <c r="AW14" s="47">
        <v>0</v>
      </c>
      <c r="AX14" s="47">
        <v>0</v>
      </c>
      <c r="AY14" s="47">
        <v>0</v>
      </c>
      <c r="AZ14" s="47">
        <v>0</v>
      </c>
      <c r="BA14" s="47">
        <v>0</v>
      </c>
      <c r="BB14" s="47">
        <v>0</v>
      </c>
      <c r="BC14" s="47">
        <v>0</v>
      </c>
      <c r="BD14" s="47">
        <v>0</v>
      </c>
      <c r="BE14" s="47">
        <v>0</v>
      </c>
      <c r="BF14" s="47">
        <v>0</v>
      </c>
      <c r="BG14" s="47">
        <v>0</v>
      </c>
      <c r="BH14" s="47">
        <v>0</v>
      </c>
      <c r="BI14" s="47">
        <v>0</v>
      </c>
      <c r="BK14" s="41">
        <f t="shared" si="0"/>
        <v>0</v>
      </c>
      <c r="BL14" s="41"/>
      <c r="BM14" s="41">
        <f t="shared" si="1"/>
        <v>0</v>
      </c>
      <c r="BN14" s="41">
        <f t="shared" si="2"/>
        <v>0</v>
      </c>
      <c r="BO14" s="47"/>
    </row>
    <row r="15" spans="1:67" ht="12.75">
      <c r="A15" s="62" t="s">
        <v>461</v>
      </c>
      <c r="B15" s="47">
        <v>0</v>
      </c>
      <c r="C15" s="47">
        <v>0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v>0</v>
      </c>
      <c r="P15" s="47">
        <v>0</v>
      </c>
      <c r="Q15" s="47">
        <v>0</v>
      </c>
      <c r="R15" s="47">
        <v>0</v>
      </c>
      <c r="S15" s="47">
        <v>0</v>
      </c>
      <c r="T15" s="47">
        <v>0</v>
      </c>
      <c r="U15" s="47">
        <v>0</v>
      </c>
      <c r="V15" s="47">
        <v>0</v>
      </c>
      <c r="W15" s="47">
        <v>0</v>
      </c>
      <c r="X15" s="47">
        <v>0</v>
      </c>
      <c r="Y15" s="47">
        <v>0</v>
      </c>
      <c r="Z15" s="47">
        <v>0</v>
      </c>
      <c r="AA15" s="47">
        <v>0</v>
      </c>
      <c r="AB15" s="47">
        <v>0</v>
      </c>
      <c r="AC15" s="47">
        <v>0</v>
      </c>
      <c r="AD15" s="47">
        <v>0</v>
      </c>
      <c r="AE15" s="47">
        <v>0</v>
      </c>
      <c r="AF15" s="47">
        <v>0</v>
      </c>
      <c r="AG15" s="47">
        <v>0</v>
      </c>
      <c r="AH15" s="47">
        <v>0</v>
      </c>
      <c r="AI15" s="47">
        <v>0</v>
      </c>
      <c r="AJ15" s="47">
        <v>0</v>
      </c>
      <c r="AK15" s="47">
        <v>0</v>
      </c>
      <c r="AL15" s="47">
        <v>0</v>
      </c>
      <c r="AM15" s="47">
        <v>0</v>
      </c>
      <c r="AN15" s="47">
        <v>0</v>
      </c>
      <c r="AO15" s="47">
        <v>0</v>
      </c>
      <c r="AP15" s="47">
        <v>0</v>
      </c>
      <c r="AQ15" s="47">
        <v>0</v>
      </c>
      <c r="AR15" s="47">
        <v>0</v>
      </c>
      <c r="AS15" s="47">
        <v>0</v>
      </c>
      <c r="AT15" s="47">
        <v>0</v>
      </c>
      <c r="AU15" s="47">
        <v>0</v>
      </c>
      <c r="AV15" s="47">
        <v>0</v>
      </c>
      <c r="AW15" s="47">
        <v>0</v>
      </c>
      <c r="AX15" s="47">
        <v>0</v>
      </c>
      <c r="AY15" s="47">
        <v>0</v>
      </c>
      <c r="AZ15" s="47">
        <v>0</v>
      </c>
      <c r="BA15" s="47">
        <v>0</v>
      </c>
      <c r="BB15" s="47">
        <v>0</v>
      </c>
      <c r="BC15" s="47">
        <v>0</v>
      </c>
      <c r="BD15" s="47">
        <v>0</v>
      </c>
      <c r="BE15" s="47">
        <v>0</v>
      </c>
      <c r="BF15" s="47">
        <v>0</v>
      </c>
      <c r="BG15" s="47">
        <v>0</v>
      </c>
      <c r="BH15" s="47">
        <v>0</v>
      </c>
      <c r="BI15" s="47">
        <v>0</v>
      </c>
      <c r="BK15" s="41">
        <f t="shared" si="0"/>
        <v>0</v>
      </c>
      <c r="BL15" s="41"/>
      <c r="BM15" s="41">
        <f t="shared" si="1"/>
        <v>0</v>
      </c>
      <c r="BN15" s="41">
        <f t="shared" si="2"/>
        <v>0</v>
      </c>
      <c r="BO15" s="47"/>
    </row>
    <row r="16" spans="1:66" ht="5.25" customHeight="1">
      <c r="A16" s="62"/>
      <c r="BK16" s="41"/>
      <c r="BL16" s="41"/>
      <c r="BM16" s="41"/>
      <c r="BN16" s="41"/>
    </row>
    <row r="17" spans="1:66" ht="12.75">
      <c r="A17" s="63" t="s">
        <v>423</v>
      </c>
      <c r="BK17" s="41"/>
      <c r="BL17" s="41"/>
      <c r="BM17" s="41"/>
      <c r="BN17" s="41"/>
    </row>
    <row r="18" spans="1:67" ht="12.75">
      <c r="A18" s="62" t="s">
        <v>392</v>
      </c>
      <c r="B18" s="47">
        <v>23354380.786</v>
      </c>
      <c r="C18" s="47">
        <v>9259876.533</v>
      </c>
      <c r="D18" s="47">
        <v>17185371.12</v>
      </c>
      <c r="E18" s="47">
        <v>17074740.964</v>
      </c>
      <c r="F18" s="47">
        <v>10841865.835</v>
      </c>
      <c r="G18" s="47">
        <f>6760316.662+30506.71</f>
        <v>6790823.3719999995</v>
      </c>
      <c r="H18" s="47">
        <v>3085016.723</v>
      </c>
      <c r="I18" s="47">
        <v>9981451.786</v>
      </c>
      <c r="J18" s="47">
        <f>4795085.977+295667</f>
        <v>5090752.977</v>
      </c>
      <c r="K18" s="47">
        <v>4888772.512</v>
      </c>
      <c r="L18" s="47">
        <v>5283947.699</v>
      </c>
      <c r="M18" s="47">
        <v>4546870.345</v>
      </c>
      <c r="N18" s="47">
        <v>6115054.922</v>
      </c>
      <c r="O18" s="47">
        <f>7352408.905-59485</f>
        <v>7292923.905</v>
      </c>
      <c r="P18" s="47">
        <f>5453217.135+12282.655-367162.407</f>
        <v>5098337.383</v>
      </c>
      <c r="Q18" s="47">
        <v>6510963.923</v>
      </c>
      <c r="R18" s="47">
        <v>3391465.425</v>
      </c>
      <c r="S18" s="47">
        <v>3386158.063</v>
      </c>
      <c r="T18" s="47">
        <v>2402927.843</v>
      </c>
      <c r="U18" s="47">
        <v>5917850.081</v>
      </c>
      <c r="V18" s="47">
        <v>1129153.813</v>
      </c>
      <c r="W18" s="47">
        <v>1243726.506</v>
      </c>
      <c r="X18" s="47">
        <v>1590506.904</v>
      </c>
      <c r="Y18" s="47">
        <v>2845565</v>
      </c>
      <c r="Z18" s="47">
        <v>4021831.978</v>
      </c>
      <c r="AA18" s="47">
        <v>3037180.926</v>
      </c>
      <c r="AB18" s="47">
        <v>2332633.075</v>
      </c>
      <c r="AC18" s="47">
        <v>546035.134</v>
      </c>
      <c r="AD18" s="47">
        <f>191034.942-11765</f>
        <v>179269.942</v>
      </c>
      <c r="AE18" s="47">
        <v>1305965.023</v>
      </c>
      <c r="AF18" s="47">
        <f>352940.505-27093</f>
        <v>325847.505</v>
      </c>
      <c r="AG18" s="47">
        <v>659759.053</v>
      </c>
      <c r="AH18" s="47">
        <v>2262100.049</v>
      </c>
      <c r="AI18" s="47">
        <v>951985.351</v>
      </c>
      <c r="AJ18" s="47">
        <v>448989.022</v>
      </c>
      <c r="AK18" s="47">
        <v>533.328</v>
      </c>
      <c r="AL18" s="47">
        <v>805547.37</v>
      </c>
      <c r="AM18" s="47">
        <v>849022.494</v>
      </c>
      <c r="AN18" s="47">
        <v>360143.493</v>
      </c>
      <c r="AO18" s="47">
        <v>586981.11</v>
      </c>
      <c r="AP18" s="47">
        <f>140815.306+8854.968</f>
        <v>149670.274</v>
      </c>
      <c r="AQ18" s="47">
        <v>474116.124</v>
      </c>
      <c r="AR18" s="47">
        <v>447776.656</v>
      </c>
      <c r="AS18" s="47">
        <v>175018.282</v>
      </c>
      <c r="AT18" s="47">
        <v>39867.103</v>
      </c>
      <c r="AU18" s="47">
        <v>0</v>
      </c>
      <c r="AV18" s="47">
        <f>251102.124+6353.6</f>
        <v>257455.72400000002</v>
      </c>
      <c r="AW18" s="47">
        <f>358940.342+6494.242</f>
        <v>365434.58400000003</v>
      </c>
      <c r="AX18" s="47">
        <v>162850.417</v>
      </c>
      <c r="AY18" s="47">
        <v>226152.584</v>
      </c>
      <c r="AZ18" s="47">
        <v>92180.176</v>
      </c>
      <c r="BA18" s="47">
        <v>1296</v>
      </c>
      <c r="BB18" s="47">
        <v>244193.349</v>
      </c>
      <c r="BC18" s="47">
        <v>43128.598</v>
      </c>
      <c r="BD18" s="47">
        <v>15382.5</v>
      </c>
      <c r="BE18" s="47">
        <v>0</v>
      </c>
      <c r="BF18" s="47">
        <v>0</v>
      </c>
      <c r="BG18" s="47">
        <v>10000</v>
      </c>
      <c r="BH18" s="47">
        <v>37998.805</v>
      </c>
      <c r="BI18" s="47">
        <v>0</v>
      </c>
      <c r="BK18" s="41">
        <f aca="true" t="shared" si="3" ref="BK18:BK25">SUM(B18:BJ18)</f>
        <v>185724850.449</v>
      </c>
      <c r="BL18" s="41"/>
      <c r="BM18" s="41">
        <f aca="true" t="shared" si="4" ref="BM18:BM25">C18+V18+AD18+AH18+AN18+AP18+AS18+AU18+AW18+AZ18+BB18+BD18+BE18+BG18</f>
        <v>14242422.995000003</v>
      </c>
      <c r="BN18" s="41">
        <f aca="true" t="shared" si="5" ref="BN18:BN25">B18+D18+E18+F18+G18+H18+I18+J18+K18+L18+M18+N18+O18+P18+Q18+R18+S18+T18+U18+W18+X18+Y18+Z18+AA18+AB18+AC18+AE18+AF18+AG18+AI18+AJ18+AK18+AM18+AL18+AO18+AQ18+AT18+AV18+AX18+AY18+BA18+BC18+BH18+BI18+AR18+BF18</f>
        <v>171482427.45400006</v>
      </c>
      <c r="BO18" s="47"/>
    </row>
    <row r="19" spans="1:67" ht="12.75">
      <c r="A19" s="62" t="s">
        <v>393</v>
      </c>
      <c r="B19" s="47">
        <v>41794276.351</v>
      </c>
      <c r="C19" s="47">
        <v>38522290.595</v>
      </c>
      <c r="D19" s="47">
        <v>22205552.391</v>
      </c>
      <c r="E19" s="47">
        <v>15305478.564</v>
      </c>
      <c r="F19" s="47">
        <v>25660046.609</v>
      </c>
      <c r="G19" s="47">
        <f>10235156.311+144328.765-30506.71+257747.221</f>
        <v>10606725.587000001</v>
      </c>
      <c r="H19" s="47">
        <v>14182219.016</v>
      </c>
      <c r="I19" s="47">
        <v>5054260.273</v>
      </c>
      <c r="J19" s="47">
        <f>6792026.717+137276</f>
        <v>6929302.717</v>
      </c>
      <c r="K19" s="47">
        <v>5826574.231</v>
      </c>
      <c r="L19" s="47">
        <v>6877734.039</v>
      </c>
      <c r="M19" s="47">
        <v>7155264.975</v>
      </c>
      <c r="N19" s="47">
        <v>2094878.69</v>
      </c>
      <c r="O19" s="47">
        <f>2176922.278+59485</f>
        <v>2236407.278</v>
      </c>
      <c r="P19" s="47">
        <f>1064226.161+367162.407</f>
        <v>1431388.568</v>
      </c>
      <c r="Q19" s="47">
        <v>2250942.739</v>
      </c>
      <c r="R19" s="47">
        <v>5135065.059</v>
      </c>
      <c r="S19" s="47">
        <v>3709956.838</v>
      </c>
      <c r="T19" s="47">
        <v>4070931.172</v>
      </c>
      <c r="U19" s="47">
        <v>611703.152</v>
      </c>
      <c r="V19" s="47">
        <v>4038873.269</v>
      </c>
      <c r="W19" s="47">
        <v>3910916.382</v>
      </c>
      <c r="X19" s="47">
        <v>3928523.784</v>
      </c>
      <c r="Y19" s="47">
        <v>2533978</v>
      </c>
      <c r="Z19" s="47">
        <v>622321.054</v>
      </c>
      <c r="AA19" s="47">
        <v>1302584.54</v>
      </c>
      <c r="AB19" s="47">
        <v>1146740.921</v>
      </c>
      <c r="AC19" s="47">
        <v>1513492.056</v>
      </c>
      <c r="AD19" s="47">
        <f>797309.124+11765</f>
        <v>809074.124</v>
      </c>
      <c r="AE19" s="47">
        <v>533512.644</v>
      </c>
      <c r="AF19" s="47">
        <f>1392073.377+27093</f>
        <v>1419166.377</v>
      </c>
      <c r="AG19" s="47">
        <v>1910137.223</v>
      </c>
      <c r="AH19" s="47">
        <v>262609.102</v>
      </c>
      <c r="AI19" s="47">
        <v>851515.127</v>
      </c>
      <c r="AJ19" s="47">
        <v>1376325.933</v>
      </c>
      <c r="AK19" s="47">
        <f>1176227.578+20801.905+27856+1991</f>
        <v>1226876.483</v>
      </c>
      <c r="AL19" s="47">
        <v>602209.111</v>
      </c>
      <c r="AM19" s="47">
        <v>731648.461</v>
      </c>
      <c r="AN19" s="47">
        <v>431304.295</v>
      </c>
      <c r="AO19" s="47">
        <v>498894.738</v>
      </c>
      <c r="AP19" s="47">
        <f>769916.156+53900.19</f>
        <v>823816.3459999999</v>
      </c>
      <c r="AQ19" s="47">
        <v>533191.334</v>
      </c>
      <c r="AR19" s="47">
        <v>509916.718</v>
      </c>
      <c r="AS19" s="47">
        <v>664971.408</v>
      </c>
      <c r="AT19" s="47">
        <v>692319.152</v>
      </c>
      <c r="AU19" s="47">
        <v>612124.842</v>
      </c>
      <c r="AV19" s="47">
        <f>306205.863+31054.19-10808.469</f>
        <v>326451.58400000003</v>
      </c>
      <c r="AW19" s="47">
        <v>38300.6</v>
      </c>
      <c r="AX19" s="47">
        <v>408416.319</v>
      </c>
      <c r="AY19" s="47">
        <v>233891.75</v>
      </c>
      <c r="AZ19" s="47">
        <v>211415.562</v>
      </c>
      <c r="BA19" s="47">
        <v>347126.327</v>
      </c>
      <c r="BB19" s="47">
        <v>0</v>
      </c>
      <c r="BC19" s="47">
        <v>82097.087</v>
      </c>
      <c r="BD19" s="47">
        <v>89814.662</v>
      </c>
      <c r="BE19" s="47">
        <v>19688.116</v>
      </c>
      <c r="BF19" s="47">
        <v>29774.004</v>
      </c>
      <c r="BG19" s="47">
        <f>10326.697+10028.521+27992.325</f>
        <v>48347.543000000005</v>
      </c>
      <c r="BH19" s="47">
        <v>0</v>
      </c>
      <c r="BI19" s="47">
        <v>9659</v>
      </c>
      <c r="BK19" s="41">
        <f t="shared" si="3"/>
        <v>256993024.82200003</v>
      </c>
      <c r="BL19" s="41"/>
      <c r="BM19" s="41">
        <f t="shared" si="4"/>
        <v>46572630.463999994</v>
      </c>
      <c r="BN19" s="41">
        <f t="shared" si="5"/>
        <v>210420394.35799995</v>
      </c>
      <c r="BO19" s="47"/>
    </row>
    <row r="20" spans="1:67" ht="12.75">
      <c r="A20" s="64" t="s">
        <v>394</v>
      </c>
      <c r="B20" s="47">
        <v>10394609.62</v>
      </c>
      <c r="C20" s="47">
        <v>11710061.628</v>
      </c>
      <c r="D20" s="47">
        <v>6039253.767</v>
      </c>
      <c r="E20" s="47">
        <v>6067045.938</v>
      </c>
      <c r="F20" s="47">
        <v>1944110.211</v>
      </c>
      <c r="G20" s="47">
        <v>620131.923</v>
      </c>
      <c r="H20" s="47">
        <v>393322.346</v>
      </c>
      <c r="I20" s="47">
        <v>1369209.9</v>
      </c>
      <c r="J20" s="47">
        <v>2035149.008</v>
      </c>
      <c r="K20" s="47">
        <v>3503456.982</v>
      </c>
      <c r="L20" s="47">
        <v>1003819.143</v>
      </c>
      <c r="M20" s="47">
        <v>302270.518</v>
      </c>
      <c r="N20" s="47">
        <v>363569.506</v>
      </c>
      <c r="O20" s="47">
        <v>1753918.513</v>
      </c>
      <c r="P20" s="47">
        <v>2599212.912</v>
      </c>
      <c r="Q20" s="47">
        <v>450493.56</v>
      </c>
      <c r="R20" s="47">
        <v>7940.301</v>
      </c>
      <c r="S20" s="47">
        <v>281303.384</v>
      </c>
      <c r="T20" s="47">
        <v>57820.18</v>
      </c>
      <c r="U20" s="47">
        <v>0</v>
      </c>
      <c r="V20" s="47">
        <v>951278.585</v>
      </c>
      <c r="W20" s="47">
        <v>867303.296</v>
      </c>
      <c r="X20" s="47">
        <v>450019.401</v>
      </c>
      <c r="Y20" s="47">
        <v>54016</v>
      </c>
      <c r="Z20" s="47">
        <v>429206.462</v>
      </c>
      <c r="AA20" s="47">
        <v>102888.309</v>
      </c>
      <c r="AB20" s="47">
        <v>0</v>
      </c>
      <c r="AC20" s="47">
        <v>296708.664</v>
      </c>
      <c r="AD20" s="47">
        <v>1351094.542</v>
      </c>
      <c r="AE20" s="47">
        <v>690231.865</v>
      </c>
      <c r="AF20" s="47">
        <v>1055431.625</v>
      </c>
      <c r="AG20" s="47">
        <v>148614.19</v>
      </c>
      <c r="AH20" s="47">
        <v>0</v>
      </c>
      <c r="AI20" s="47">
        <v>53857.768</v>
      </c>
      <c r="AJ20" s="47">
        <v>109962.353</v>
      </c>
      <c r="AK20" s="47">
        <f>7189.444+482</f>
        <v>7671.444</v>
      </c>
      <c r="AL20" s="47">
        <v>108069.691</v>
      </c>
      <c r="AM20" s="47">
        <v>66707.765</v>
      </c>
      <c r="AN20" s="47">
        <v>418231.726</v>
      </c>
      <c r="AO20" s="47">
        <v>68736.452</v>
      </c>
      <c r="AP20" s="47">
        <v>136889.35</v>
      </c>
      <c r="AQ20" s="47">
        <v>72131.704</v>
      </c>
      <c r="AR20" s="47">
        <v>0</v>
      </c>
      <c r="AS20" s="47">
        <v>136479.336</v>
      </c>
      <c r="AT20" s="47">
        <v>11389.351</v>
      </c>
      <c r="AU20" s="47">
        <v>98618.806</v>
      </c>
      <c r="AV20" s="47">
        <v>80813.528</v>
      </c>
      <c r="AW20" s="47">
        <v>42232.196</v>
      </c>
      <c r="AX20" s="47">
        <v>3140.777</v>
      </c>
      <c r="AY20" s="47">
        <v>0</v>
      </c>
      <c r="AZ20" s="47">
        <v>76471.965</v>
      </c>
      <c r="BA20" s="47">
        <v>33188.251</v>
      </c>
      <c r="BB20" s="47">
        <v>8622.615</v>
      </c>
      <c r="BC20" s="47">
        <v>38375.052</v>
      </c>
      <c r="BD20" s="47">
        <v>5695.19</v>
      </c>
      <c r="BE20" s="47">
        <v>72023.316</v>
      </c>
      <c r="BF20" s="47">
        <v>71612.519</v>
      </c>
      <c r="BG20" s="47">
        <v>0</v>
      </c>
      <c r="BH20" s="47">
        <v>0</v>
      </c>
      <c r="BI20" s="47">
        <v>0</v>
      </c>
      <c r="BK20" s="41">
        <f t="shared" si="3"/>
        <v>59014413.43400002</v>
      </c>
      <c r="BL20" s="41"/>
      <c r="BM20" s="41">
        <f t="shared" si="4"/>
        <v>15007699.254999997</v>
      </c>
      <c r="BN20" s="41">
        <f t="shared" si="5"/>
        <v>44006714.179</v>
      </c>
      <c r="BO20" s="47"/>
    </row>
    <row r="21" spans="1:67" ht="12.75">
      <c r="A21" s="64" t="s">
        <v>395</v>
      </c>
      <c r="B21" s="47">
        <v>0</v>
      </c>
      <c r="C21" s="47">
        <v>0</v>
      </c>
      <c r="D21" s="47">
        <v>264452.725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91949.27</v>
      </c>
      <c r="L21" s="47">
        <v>0</v>
      </c>
      <c r="M21" s="47">
        <v>34358.808</v>
      </c>
      <c r="N21" s="47">
        <v>2730523.179</v>
      </c>
      <c r="O21" s="47">
        <v>0</v>
      </c>
      <c r="P21" s="47">
        <v>0</v>
      </c>
      <c r="Q21" s="47">
        <v>20605.697</v>
      </c>
      <c r="R21" s="47">
        <v>0</v>
      </c>
      <c r="S21" s="47">
        <v>0</v>
      </c>
      <c r="T21" s="47">
        <v>0</v>
      </c>
      <c r="U21" s="47">
        <v>0</v>
      </c>
      <c r="V21" s="47">
        <v>0</v>
      </c>
      <c r="W21" s="47">
        <v>0</v>
      </c>
      <c r="X21" s="47">
        <v>0</v>
      </c>
      <c r="Y21" s="47">
        <v>0</v>
      </c>
      <c r="Z21" s="47">
        <v>0</v>
      </c>
      <c r="AA21" s="47">
        <v>18820.863</v>
      </c>
      <c r="AB21" s="47">
        <v>0</v>
      </c>
      <c r="AC21" s="47">
        <v>0</v>
      </c>
      <c r="AD21" s="47">
        <v>0</v>
      </c>
      <c r="AE21" s="47">
        <v>0</v>
      </c>
      <c r="AF21" s="47">
        <v>0</v>
      </c>
      <c r="AG21" s="47">
        <v>0</v>
      </c>
      <c r="AH21" s="47">
        <v>0</v>
      </c>
      <c r="AI21" s="47">
        <v>0</v>
      </c>
      <c r="AJ21" s="47">
        <v>0</v>
      </c>
      <c r="AK21" s="47">
        <v>0</v>
      </c>
      <c r="AL21" s="47">
        <v>0</v>
      </c>
      <c r="AM21" s="47">
        <v>0</v>
      </c>
      <c r="AN21" s="47">
        <v>0</v>
      </c>
      <c r="AO21" s="47">
        <v>0</v>
      </c>
      <c r="AP21" s="47">
        <v>0</v>
      </c>
      <c r="AQ21" s="47">
        <v>0</v>
      </c>
      <c r="AR21" s="47">
        <v>0</v>
      </c>
      <c r="AS21" s="47">
        <v>0</v>
      </c>
      <c r="AT21" s="47">
        <v>0</v>
      </c>
      <c r="AU21" s="47">
        <v>0</v>
      </c>
      <c r="AV21" s="47">
        <v>0</v>
      </c>
      <c r="AW21" s="47">
        <v>0</v>
      </c>
      <c r="AX21" s="47">
        <v>0</v>
      </c>
      <c r="AY21" s="47">
        <v>0</v>
      </c>
      <c r="AZ21" s="47">
        <v>0</v>
      </c>
      <c r="BA21" s="47">
        <v>0</v>
      </c>
      <c r="BB21" s="47">
        <v>0</v>
      </c>
      <c r="BC21" s="47">
        <v>0</v>
      </c>
      <c r="BD21" s="47">
        <v>0</v>
      </c>
      <c r="BE21" s="47">
        <v>0</v>
      </c>
      <c r="BF21" s="47">
        <v>0</v>
      </c>
      <c r="BG21" s="47">
        <v>0</v>
      </c>
      <c r="BH21" s="47">
        <v>0</v>
      </c>
      <c r="BI21" s="47">
        <v>0</v>
      </c>
      <c r="BK21" s="41">
        <f t="shared" si="3"/>
        <v>3160710.542</v>
      </c>
      <c r="BL21" s="41"/>
      <c r="BM21" s="41">
        <f t="shared" si="4"/>
        <v>0</v>
      </c>
      <c r="BN21" s="41">
        <f t="shared" si="5"/>
        <v>3160710.542</v>
      </c>
      <c r="BO21" s="47"/>
    </row>
    <row r="22" spans="1:67" ht="12.75">
      <c r="A22" s="57" t="s">
        <v>462</v>
      </c>
      <c r="B22" s="47">
        <v>0</v>
      </c>
      <c r="C22" s="47">
        <v>0</v>
      </c>
      <c r="D22" s="47">
        <v>0</v>
      </c>
      <c r="E22" s="47">
        <v>0</v>
      </c>
      <c r="F22" s="47">
        <v>0</v>
      </c>
      <c r="G22" s="47">
        <v>495851.922</v>
      </c>
      <c r="H22" s="47">
        <v>0</v>
      </c>
      <c r="I22" s="47">
        <v>0</v>
      </c>
      <c r="J22" s="47">
        <v>13308.954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7">
        <f>1105213.006+21033.18</f>
        <v>1126246.186</v>
      </c>
      <c r="Q22" s="47">
        <v>0</v>
      </c>
      <c r="R22" s="47">
        <v>690263.037</v>
      </c>
      <c r="S22" s="47">
        <v>0</v>
      </c>
      <c r="T22" s="47">
        <v>22038.592</v>
      </c>
      <c r="U22" s="47">
        <v>0</v>
      </c>
      <c r="V22" s="47">
        <v>0</v>
      </c>
      <c r="W22" s="47">
        <v>0</v>
      </c>
      <c r="X22" s="47">
        <v>0</v>
      </c>
      <c r="Y22" s="47">
        <v>0</v>
      </c>
      <c r="Z22" s="47">
        <v>0</v>
      </c>
      <c r="AA22" s="47">
        <v>416877.415</v>
      </c>
      <c r="AB22" s="47">
        <v>0</v>
      </c>
      <c r="AC22" s="47">
        <v>0</v>
      </c>
      <c r="AD22" s="47">
        <v>3018.008</v>
      </c>
      <c r="AE22" s="47">
        <v>1991.649</v>
      </c>
      <c r="AF22" s="47">
        <v>0</v>
      </c>
      <c r="AG22" s="47">
        <v>0</v>
      </c>
      <c r="AH22" s="47">
        <v>0</v>
      </c>
      <c r="AI22" s="47">
        <v>19255.193</v>
      </c>
      <c r="AJ22" s="47">
        <v>0</v>
      </c>
      <c r="AK22" s="47">
        <v>0</v>
      </c>
      <c r="AL22" s="47">
        <v>0</v>
      </c>
      <c r="AM22" s="47">
        <v>0</v>
      </c>
      <c r="AN22" s="47">
        <v>0</v>
      </c>
      <c r="AO22" s="47">
        <v>0</v>
      </c>
      <c r="AP22" s="47">
        <v>13885.803</v>
      </c>
      <c r="AQ22" s="47">
        <v>0</v>
      </c>
      <c r="AR22" s="47">
        <v>0</v>
      </c>
      <c r="AS22" s="47">
        <v>0</v>
      </c>
      <c r="AT22" s="47">
        <v>134280.609</v>
      </c>
      <c r="AU22" s="47">
        <v>0</v>
      </c>
      <c r="AV22" s="47">
        <v>0</v>
      </c>
      <c r="AW22" s="47">
        <v>0</v>
      </c>
      <c r="AX22" s="47">
        <v>0</v>
      </c>
      <c r="AY22" s="47">
        <v>0</v>
      </c>
      <c r="AZ22" s="47">
        <v>0</v>
      </c>
      <c r="BA22" s="47">
        <v>0</v>
      </c>
      <c r="BB22" s="47">
        <v>0</v>
      </c>
      <c r="BC22" s="47">
        <v>0</v>
      </c>
      <c r="BD22" s="47">
        <v>0</v>
      </c>
      <c r="BE22" s="47">
        <v>0</v>
      </c>
      <c r="BF22" s="47">
        <v>0</v>
      </c>
      <c r="BG22" s="47">
        <v>0</v>
      </c>
      <c r="BH22" s="47">
        <v>1727.651</v>
      </c>
      <c r="BI22" s="47">
        <v>0</v>
      </c>
      <c r="BK22" s="41">
        <f t="shared" si="3"/>
        <v>2938745.0190000003</v>
      </c>
      <c r="BL22" s="41"/>
      <c r="BM22" s="41">
        <f t="shared" si="4"/>
        <v>16903.811</v>
      </c>
      <c r="BN22" s="41">
        <f t="shared" si="5"/>
        <v>2921841.2080000006</v>
      </c>
      <c r="BO22" s="47"/>
    </row>
    <row r="23" spans="1:67" ht="12.75">
      <c r="A23" s="64" t="s">
        <v>391</v>
      </c>
      <c r="B23" s="47">
        <v>0</v>
      </c>
      <c r="C23" s="47">
        <v>4582.362</v>
      </c>
      <c r="D23" s="47">
        <v>8371.59</v>
      </c>
      <c r="E23" s="47">
        <v>0</v>
      </c>
      <c r="F23" s="47">
        <v>180</v>
      </c>
      <c r="G23" s="47">
        <v>0</v>
      </c>
      <c r="H23" s="47">
        <v>0</v>
      </c>
      <c r="I23" s="47">
        <v>0</v>
      </c>
      <c r="J23" s="47">
        <v>198849.65</v>
      </c>
      <c r="K23" s="47">
        <v>85571.409</v>
      </c>
      <c r="L23" s="47">
        <v>75090.938</v>
      </c>
      <c r="M23" s="47">
        <v>0</v>
      </c>
      <c r="N23" s="47">
        <v>0</v>
      </c>
      <c r="O23" s="47">
        <v>25681.037</v>
      </c>
      <c r="P23" s="47">
        <v>0</v>
      </c>
      <c r="Q23" s="47">
        <v>3250.092</v>
      </c>
      <c r="R23" s="47">
        <v>5933.891</v>
      </c>
      <c r="S23" s="47">
        <v>0</v>
      </c>
      <c r="T23" s="47">
        <v>0</v>
      </c>
      <c r="U23" s="47">
        <v>0</v>
      </c>
      <c r="V23" s="47">
        <v>0</v>
      </c>
      <c r="W23" s="47">
        <v>0</v>
      </c>
      <c r="X23" s="47">
        <v>0</v>
      </c>
      <c r="Y23" s="47">
        <v>0</v>
      </c>
      <c r="Z23" s="47">
        <v>0</v>
      </c>
      <c r="AA23" s="47">
        <v>305.012</v>
      </c>
      <c r="AB23" s="47">
        <v>0</v>
      </c>
      <c r="AC23" s="47">
        <v>8582.306</v>
      </c>
      <c r="AD23" s="47">
        <v>0</v>
      </c>
      <c r="AE23" s="47">
        <v>0</v>
      </c>
      <c r="AF23" s="47">
        <v>0</v>
      </c>
      <c r="AG23" s="47">
        <v>0</v>
      </c>
      <c r="AH23" s="47">
        <v>0</v>
      </c>
      <c r="AI23" s="47">
        <v>0</v>
      </c>
      <c r="AJ23" s="47">
        <v>0</v>
      </c>
      <c r="AK23" s="47">
        <v>0</v>
      </c>
      <c r="AL23" s="47">
        <v>0</v>
      </c>
      <c r="AM23" s="47">
        <v>0</v>
      </c>
      <c r="AN23" s="47">
        <v>0</v>
      </c>
      <c r="AO23" s="47">
        <v>0</v>
      </c>
      <c r="AP23" s="47">
        <v>0</v>
      </c>
      <c r="AQ23" s="47">
        <v>0</v>
      </c>
      <c r="AR23" s="47">
        <v>0</v>
      </c>
      <c r="AS23" s="47">
        <v>0</v>
      </c>
      <c r="AT23" s="47">
        <v>983.632</v>
      </c>
      <c r="AU23" s="47">
        <v>0</v>
      </c>
      <c r="AV23" s="47">
        <v>0</v>
      </c>
      <c r="AW23" s="47">
        <v>0</v>
      </c>
      <c r="AX23" s="47">
        <v>0</v>
      </c>
      <c r="AY23" s="47">
        <v>0</v>
      </c>
      <c r="AZ23" s="47">
        <v>0</v>
      </c>
      <c r="BA23" s="47">
        <v>0</v>
      </c>
      <c r="BB23" s="47">
        <v>0</v>
      </c>
      <c r="BC23" s="47">
        <v>0</v>
      </c>
      <c r="BD23" s="47">
        <v>0</v>
      </c>
      <c r="BE23" s="47">
        <v>0</v>
      </c>
      <c r="BF23" s="47">
        <v>0</v>
      </c>
      <c r="BG23" s="47">
        <v>0</v>
      </c>
      <c r="BH23" s="47">
        <v>0</v>
      </c>
      <c r="BI23" s="47">
        <v>0</v>
      </c>
      <c r="BK23" s="41">
        <f t="shared" si="3"/>
        <v>417381.919</v>
      </c>
      <c r="BL23" s="41"/>
      <c r="BM23" s="41">
        <f t="shared" si="4"/>
        <v>4582.362</v>
      </c>
      <c r="BN23" s="41">
        <f t="shared" si="5"/>
        <v>412799.5569999999</v>
      </c>
      <c r="BO23" s="47"/>
    </row>
    <row r="24" spans="1:67" ht="12.75">
      <c r="A24" s="61" t="s">
        <v>328</v>
      </c>
      <c r="B24" s="41">
        <f>SUM(B18:B23)</f>
        <v>75543266.757</v>
      </c>
      <c r="C24" s="41">
        <f>SUM(C18:C23)</f>
        <v>59496811.118</v>
      </c>
      <c r="D24" s="41">
        <f aca="true" t="shared" si="6" ref="D24:AQ24">SUM(D18:D23)</f>
        <v>45703001.593</v>
      </c>
      <c r="E24" s="41">
        <f>SUM(E18:E23)</f>
        <v>38447265.466</v>
      </c>
      <c r="F24" s="41">
        <f t="shared" si="6"/>
        <v>38446202.65500001</v>
      </c>
      <c r="G24" s="41">
        <f t="shared" si="6"/>
        <v>18513532.803999998</v>
      </c>
      <c r="H24" s="41">
        <f t="shared" si="6"/>
        <v>17660558.085</v>
      </c>
      <c r="I24" s="41">
        <f t="shared" si="6"/>
        <v>16404921.959</v>
      </c>
      <c r="J24" s="41">
        <f t="shared" si="6"/>
        <v>14267363.306</v>
      </c>
      <c r="K24" s="41">
        <f t="shared" si="6"/>
        <v>14396324.404000001</v>
      </c>
      <c r="L24" s="41">
        <f t="shared" si="6"/>
        <v>13240591.818999998</v>
      </c>
      <c r="M24" s="41">
        <f>SUM(M18:M23)</f>
        <v>12038764.646</v>
      </c>
      <c r="N24" s="41">
        <f t="shared" si="6"/>
        <v>11304026.296999998</v>
      </c>
      <c r="O24" s="41">
        <f t="shared" si="6"/>
        <v>11308930.733000001</v>
      </c>
      <c r="P24" s="41">
        <f t="shared" si="6"/>
        <v>10255185.049</v>
      </c>
      <c r="Q24" s="41">
        <f t="shared" si="6"/>
        <v>9236256.011000002</v>
      </c>
      <c r="R24" s="41">
        <f t="shared" si="6"/>
        <v>9230667.713000003</v>
      </c>
      <c r="S24" s="41">
        <f>SUM(S18:S23)</f>
        <v>7377418.285</v>
      </c>
      <c r="T24" s="41">
        <f t="shared" si="6"/>
        <v>6553717.787</v>
      </c>
      <c r="U24" s="41">
        <f>SUM(U18:U23)</f>
        <v>6529553.233</v>
      </c>
      <c r="V24" s="41">
        <f>SUM(V18:V23)</f>
        <v>6119305.667</v>
      </c>
      <c r="W24" s="41">
        <f>SUM(W18:W23)</f>
        <v>6021946.184</v>
      </c>
      <c r="X24" s="41">
        <f t="shared" si="6"/>
        <v>5969050.089</v>
      </c>
      <c r="Y24" s="41">
        <f>SUM(Y18:Y23)</f>
        <v>5433559</v>
      </c>
      <c r="Z24" s="41">
        <f t="shared" si="6"/>
        <v>5073359.494</v>
      </c>
      <c r="AA24" s="41">
        <f t="shared" si="6"/>
        <v>4878657.065</v>
      </c>
      <c r="AB24" s="41">
        <f>SUM(AB18:AB23)</f>
        <v>3479373.9960000003</v>
      </c>
      <c r="AC24" s="41">
        <f>SUM(AC18:AC23)</f>
        <v>2364818.1599999997</v>
      </c>
      <c r="AD24" s="41">
        <f t="shared" si="6"/>
        <v>2342456.616</v>
      </c>
      <c r="AE24" s="41">
        <f>SUM(AE18:AE23)</f>
        <v>2531701.181</v>
      </c>
      <c r="AF24" s="41">
        <f t="shared" si="6"/>
        <v>2800445.507</v>
      </c>
      <c r="AG24" s="41">
        <f t="shared" si="6"/>
        <v>2718510.466</v>
      </c>
      <c r="AH24" s="41">
        <f t="shared" si="6"/>
        <v>2524709.151</v>
      </c>
      <c r="AI24" s="41">
        <f>SUM(AI18:AI23)</f>
        <v>1876613.439</v>
      </c>
      <c r="AJ24" s="41">
        <f t="shared" si="6"/>
        <v>1935277.3080000002</v>
      </c>
      <c r="AK24" s="41">
        <f t="shared" si="6"/>
        <v>1235081.255</v>
      </c>
      <c r="AL24" s="41">
        <f>SUM(AL18:AL23)</f>
        <v>1515826.1720000003</v>
      </c>
      <c r="AM24" s="41">
        <f>SUM(AM18:AM23)</f>
        <v>1647378.72</v>
      </c>
      <c r="AN24" s="41">
        <f t="shared" si="6"/>
        <v>1209679.514</v>
      </c>
      <c r="AO24" s="41">
        <f t="shared" si="6"/>
        <v>1154612.3</v>
      </c>
      <c r="AP24" s="41">
        <f t="shared" si="6"/>
        <v>1124261.773</v>
      </c>
      <c r="AQ24" s="41">
        <f t="shared" si="6"/>
        <v>1079439.162</v>
      </c>
      <c r="AR24" s="41">
        <f>SUM(AR18:AR23)</f>
        <v>957693.3740000001</v>
      </c>
      <c r="AS24" s="41">
        <f aca="true" t="shared" si="7" ref="AS24:BI24">SUM(AS18:AS23)</f>
        <v>976469.0260000001</v>
      </c>
      <c r="AT24" s="41">
        <f>SUM(AT18:AT23)</f>
        <v>878839.8470000001</v>
      </c>
      <c r="AU24" s="41">
        <f t="shared" si="7"/>
        <v>710743.6479999999</v>
      </c>
      <c r="AV24" s="41">
        <f t="shared" si="7"/>
        <v>664720.8360000001</v>
      </c>
      <c r="AW24" s="41">
        <f>SUM(AW18:AW23)</f>
        <v>445967.38</v>
      </c>
      <c r="AX24" s="41">
        <f t="shared" si="7"/>
        <v>574407.513</v>
      </c>
      <c r="AY24" s="41">
        <f t="shared" si="7"/>
        <v>460044.33400000003</v>
      </c>
      <c r="AZ24" s="41">
        <f>SUM(AZ18:AZ23)</f>
        <v>380067.703</v>
      </c>
      <c r="BA24" s="41">
        <f t="shared" si="7"/>
        <v>381610.578</v>
      </c>
      <c r="BB24" s="41">
        <f t="shared" si="7"/>
        <v>252815.96399999998</v>
      </c>
      <c r="BC24" s="41">
        <f t="shared" si="7"/>
        <v>163600.737</v>
      </c>
      <c r="BD24" s="41">
        <f t="shared" si="7"/>
        <v>110892.352</v>
      </c>
      <c r="BE24" s="41">
        <f>SUM(BE18:BE23)</f>
        <v>91711.432</v>
      </c>
      <c r="BF24" s="41">
        <f>SUM(BF18:BF23)</f>
        <v>101386.523</v>
      </c>
      <c r="BG24" s="41">
        <f t="shared" si="7"/>
        <v>58347.543000000005</v>
      </c>
      <c r="BH24" s="41">
        <f t="shared" si="7"/>
        <v>39726.456</v>
      </c>
      <c r="BI24" s="41">
        <f t="shared" si="7"/>
        <v>9659</v>
      </c>
      <c r="BK24" s="41">
        <f t="shared" si="3"/>
        <v>508249126.1850001</v>
      </c>
      <c r="BL24" s="41"/>
      <c r="BM24" s="41">
        <f t="shared" si="4"/>
        <v>75844238.88699998</v>
      </c>
      <c r="BN24" s="41">
        <f t="shared" si="5"/>
        <v>432404887.29800016</v>
      </c>
      <c r="BO24" s="41"/>
    </row>
    <row r="25" spans="1:67" ht="12.75">
      <c r="A25" s="61" t="s">
        <v>424</v>
      </c>
      <c r="B25" s="41">
        <f>B24+B15+B14+B13+B12+B11+B10</f>
        <v>75764804.697</v>
      </c>
      <c r="C25" s="41">
        <f>C24+C15+C14+C13+C12+C11+C10</f>
        <v>59625970.418</v>
      </c>
      <c r="D25" s="41">
        <f aca="true" t="shared" si="8" ref="D25:AQ25">D24+D15+D14+D13+D12+D11+D10</f>
        <v>45814347.325</v>
      </c>
      <c r="E25" s="41">
        <f>E24+E15+E14+E13+E12+E11+E10</f>
        <v>38643146.32399999</v>
      </c>
      <c r="F25" s="41">
        <f t="shared" si="8"/>
        <v>38484452.444000006</v>
      </c>
      <c r="G25" s="41">
        <f>G24+G15+G14+G13+G12+G11+G10</f>
        <v>18513532.803999998</v>
      </c>
      <c r="H25" s="41">
        <f t="shared" si="8"/>
        <v>17660558.085</v>
      </c>
      <c r="I25" s="41">
        <f t="shared" si="8"/>
        <v>16404921.959</v>
      </c>
      <c r="J25" s="41">
        <f t="shared" si="8"/>
        <v>14331966.469</v>
      </c>
      <c r="K25" s="41">
        <f t="shared" si="8"/>
        <v>14429338.476000002</v>
      </c>
      <c r="L25" s="41">
        <f t="shared" si="8"/>
        <v>13269101.684999999</v>
      </c>
      <c r="M25" s="41">
        <f>M24+M15+M14+M13+M12+M11+M10</f>
        <v>12049739.675999999</v>
      </c>
      <c r="N25" s="41">
        <f t="shared" si="8"/>
        <v>11304026.296999998</v>
      </c>
      <c r="O25" s="41">
        <f t="shared" si="8"/>
        <v>11308930.733000001</v>
      </c>
      <c r="P25" s="41">
        <f>P24+P15+P14+P13+P12+P11+P10</f>
        <v>10255185.049</v>
      </c>
      <c r="Q25" s="41">
        <f t="shared" si="8"/>
        <v>9236256.011000002</v>
      </c>
      <c r="R25" s="41">
        <f t="shared" si="8"/>
        <v>9255642.559000004</v>
      </c>
      <c r="S25" s="41">
        <f>S24+S15+S14+S13+S12+S11+S10</f>
        <v>7377418.285</v>
      </c>
      <c r="T25" s="41">
        <f t="shared" si="8"/>
        <v>6584197.384</v>
      </c>
      <c r="U25" s="41">
        <f>U24+U15+U14+U13+U12+U11+U10</f>
        <v>6529553.233</v>
      </c>
      <c r="V25" s="41">
        <f>V24+V15+V14+V13+V12+V11+V10</f>
        <v>6133656.7</v>
      </c>
      <c r="W25" s="41">
        <f>W24+W15+W14+W13+W12+W11+W10</f>
        <v>6021946.184</v>
      </c>
      <c r="X25" s="41">
        <f t="shared" si="8"/>
        <v>5969050.089</v>
      </c>
      <c r="Y25" s="41">
        <f>Y24+Y15+Y14+Y13+Y12+Y11+Y10</f>
        <v>5433559</v>
      </c>
      <c r="Z25" s="41">
        <f t="shared" si="8"/>
        <v>5073359.494</v>
      </c>
      <c r="AA25" s="41">
        <f t="shared" si="8"/>
        <v>4884568.473</v>
      </c>
      <c r="AB25" s="41">
        <f>AB24+AB15+AB14+AB13+AB12+AB11+AB10</f>
        <v>3479373.9960000003</v>
      </c>
      <c r="AC25" s="41">
        <f>AC24+AC15+AC14+AC13+AC12+AC11+AC10</f>
        <v>2364818.1599999997</v>
      </c>
      <c r="AD25" s="41">
        <f t="shared" si="8"/>
        <v>2342456.616</v>
      </c>
      <c r="AE25" s="41">
        <f>AE24+AE15+AE14+AE13+AE12+AE11+AE10</f>
        <v>2533696.135</v>
      </c>
      <c r="AF25" s="41">
        <f t="shared" si="8"/>
        <v>2800445.507</v>
      </c>
      <c r="AG25" s="41">
        <f t="shared" si="8"/>
        <v>2718510.466</v>
      </c>
      <c r="AH25" s="41">
        <f t="shared" si="8"/>
        <v>2524709.151</v>
      </c>
      <c r="AI25" s="41">
        <f>AI24+AI15+AI14+AI13+AI12+AI11+AI10</f>
        <v>1876613.439</v>
      </c>
      <c r="AJ25" s="41">
        <f t="shared" si="8"/>
        <v>1935277.3080000002</v>
      </c>
      <c r="AK25" s="41">
        <f t="shared" si="8"/>
        <v>1244912.9379999998</v>
      </c>
      <c r="AL25" s="41">
        <f>AL24+AL15+AL14+AL13+AL12+AL11+AL10</f>
        <v>1515826.1720000003</v>
      </c>
      <c r="AM25" s="41">
        <f>AM24+AM15+AM14+AM13+AM12+AM11+AM10</f>
        <v>1647378.72</v>
      </c>
      <c r="AN25" s="41">
        <f t="shared" si="8"/>
        <v>1209679.514</v>
      </c>
      <c r="AO25" s="41">
        <f t="shared" si="8"/>
        <v>1154612.3</v>
      </c>
      <c r="AP25" s="41">
        <f t="shared" si="8"/>
        <v>1124261.773</v>
      </c>
      <c r="AQ25" s="41">
        <f t="shared" si="8"/>
        <v>1079439.162</v>
      </c>
      <c r="AR25" s="41">
        <f>AR24+AR15+AR14+AR13+AR12+AR11+AR10</f>
        <v>957693.3740000001</v>
      </c>
      <c r="AS25" s="41">
        <f aca="true" t="shared" si="9" ref="AS25:BI25">AS24+AS15+AS14+AS13+AS12+AS11+AS10</f>
        <v>976469.0260000001</v>
      </c>
      <c r="AT25" s="41">
        <f>AT24+AT15+AT14+AT13+AT12+AT11+AT10</f>
        <v>894455.4970000001</v>
      </c>
      <c r="AU25" s="41">
        <f t="shared" si="9"/>
        <v>710743.6479999999</v>
      </c>
      <c r="AV25" s="41">
        <f t="shared" si="9"/>
        <v>664720.8360000001</v>
      </c>
      <c r="AW25" s="41">
        <f>AW24+AW15+AW14+AW13+AW12+AW11+AW10</f>
        <v>445967.38</v>
      </c>
      <c r="AX25" s="41">
        <f t="shared" si="9"/>
        <v>574407.513</v>
      </c>
      <c r="AY25" s="41">
        <f t="shared" si="9"/>
        <v>460044.33400000003</v>
      </c>
      <c r="AZ25" s="41">
        <f>AZ24+AZ15+AZ14+AZ13+AZ12+AZ11+AZ10</f>
        <v>380067.703</v>
      </c>
      <c r="BA25" s="41">
        <f t="shared" si="9"/>
        <v>381610.578</v>
      </c>
      <c r="BB25" s="41">
        <f t="shared" si="9"/>
        <v>252815.96399999998</v>
      </c>
      <c r="BC25" s="41">
        <f t="shared" si="9"/>
        <v>163600.737</v>
      </c>
      <c r="BD25" s="41">
        <f t="shared" si="9"/>
        <v>110892.352</v>
      </c>
      <c r="BE25" s="41">
        <f>BE24+BE15+BE14+BE13+BE12+BE11+BE10</f>
        <v>91711.432</v>
      </c>
      <c r="BF25" s="41">
        <f>BF24+BF15+BF14+BF13+BF12+BF11+BF10</f>
        <v>101386.523</v>
      </c>
      <c r="BG25" s="41">
        <f t="shared" si="9"/>
        <v>58347.543000000005</v>
      </c>
      <c r="BH25" s="41">
        <f t="shared" si="9"/>
        <v>39726.456</v>
      </c>
      <c r="BI25" s="41">
        <f t="shared" si="9"/>
        <v>9659</v>
      </c>
      <c r="BK25" s="41">
        <f t="shared" si="3"/>
        <v>509185561.1060001</v>
      </c>
      <c r="BL25" s="41"/>
      <c r="BM25" s="41">
        <f t="shared" si="4"/>
        <v>75987749.21999997</v>
      </c>
      <c r="BN25" s="41">
        <f t="shared" si="5"/>
        <v>433197811.88600016</v>
      </c>
      <c r="BO25" s="41"/>
    </row>
    <row r="26" spans="1:67" ht="3.75" customHeight="1">
      <c r="A26" s="99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K26" s="41"/>
      <c r="BL26" s="41"/>
      <c r="BM26" s="41"/>
      <c r="BN26" s="41"/>
      <c r="BO26" s="41"/>
    </row>
    <row r="27" spans="1:66" ht="12.75">
      <c r="A27" s="60" t="s">
        <v>396</v>
      </c>
      <c r="BK27" s="41"/>
      <c r="BL27" s="41"/>
      <c r="BM27" s="41"/>
      <c r="BN27" s="41"/>
    </row>
    <row r="28" spans="1:67" ht="12.75">
      <c r="A28" s="62" t="s">
        <v>463</v>
      </c>
      <c r="B28" s="47">
        <v>0</v>
      </c>
      <c r="C28" s="47">
        <v>0</v>
      </c>
      <c r="D28" s="47">
        <v>0</v>
      </c>
      <c r="E28" s="47">
        <v>1262.98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v>0</v>
      </c>
      <c r="P28" s="47">
        <v>0</v>
      </c>
      <c r="Q28" s="47">
        <v>0</v>
      </c>
      <c r="R28" s="47">
        <v>0</v>
      </c>
      <c r="S28" s="47">
        <v>0</v>
      </c>
      <c r="T28" s="47">
        <v>0</v>
      </c>
      <c r="U28" s="47">
        <v>0</v>
      </c>
      <c r="V28" s="47">
        <v>0</v>
      </c>
      <c r="W28" s="47">
        <v>0</v>
      </c>
      <c r="X28" s="47">
        <v>0</v>
      </c>
      <c r="Y28" s="47">
        <v>0</v>
      </c>
      <c r="Z28" s="47">
        <v>0</v>
      </c>
      <c r="AA28" s="47">
        <v>0</v>
      </c>
      <c r="AB28" s="47">
        <v>0</v>
      </c>
      <c r="AC28" s="47">
        <v>0</v>
      </c>
      <c r="AD28" s="47">
        <v>0</v>
      </c>
      <c r="AE28" s="47">
        <v>0</v>
      </c>
      <c r="AF28" s="47">
        <v>0</v>
      </c>
      <c r="AG28" s="47">
        <v>0</v>
      </c>
      <c r="AH28" s="47">
        <v>0</v>
      </c>
      <c r="AI28" s="47">
        <v>0</v>
      </c>
      <c r="AJ28" s="47">
        <v>0</v>
      </c>
      <c r="AK28" s="47">
        <v>0</v>
      </c>
      <c r="AL28" s="47">
        <v>0</v>
      </c>
      <c r="AM28" s="47">
        <v>0</v>
      </c>
      <c r="AN28" s="47">
        <v>0</v>
      </c>
      <c r="AO28" s="47">
        <v>0</v>
      </c>
      <c r="AP28" s="47">
        <v>0</v>
      </c>
      <c r="AQ28" s="47">
        <v>0</v>
      </c>
      <c r="AR28" s="47">
        <v>0</v>
      </c>
      <c r="AS28" s="47">
        <v>0</v>
      </c>
      <c r="AT28" s="47">
        <v>0</v>
      </c>
      <c r="AU28" s="47">
        <v>0</v>
      </c>
      <c r="AV28" s="47">
        <v>0</v>
      </c>
      <c r="AW28" s="47">
        <v>0</v>
      </c>
      <c r="AX28" s="47">
        <v>0</v>
      </c>
      <c r="AY28" s="47">
        <v>0</v>
      </c>
      <c r="AZ28" s="47">
        <v>0</v>
      </c>
      <c r="BA28" s="47">
        <v>0</v>
      </c>
      <c r="BB28" s="47">
        <v>0</v>
      </c>
      <c r="BC28" s="47">
        <v>0</v>
      </c>
      <c r="BD28" s="47">
        <v>0</v>
      </c>
      <c r="BE28" s="47">
        <v>0</v>
      </c>
      <c r="BF28" s="47">
        <v>0</v>
      </c>
      <c r="BG28" s="47">
        <v>0</v>
      </c>
      <c r="BH28" s="47">
        <v>0</v>
      </c>
      <c r="BI28" s="47">
        <v>0</v>
      </c>
      <c r="BK28" s="41">
        <f>SUM(B28:BJ28)</f>
        <v>1262.98</v>
      </c>
      <c r="BL28" s="41"/>
      <c r="BM28" s="41">
        <f>C28+V28+AD28+AH28+AN28+AP28+AS28+AU28+AW28+AZ28+BB28+BD28+BE28+BG28</f>
        <v>0</v>
      </c>
      <c r="BN28" s="41">
        <f>B28+D28+E28+F28+G28+H28+I28+J28+K28+L28+M28+N28+O28+P28+Q28+R28+S28+T28+U28+W28+X28+Y28+Z28+AA28+AB28+AC28+AE28+AF28+AG28+AI28+AJ28+AK28+AM28+AL28+AO28+AQ28+AT28+AV28+AX28+AY28+BA28+BC28+BH28+BI28+AR28+BF28</f>
        <v>1262.98</v>
      </c>
      <c r="BO28" s="47"/>
    </row>
    <row r="29" spans="1:67" ht="12.75">
      <c r="A29" s="62" t="s">
        <v>397</v>
      </c>
      <c r="B29" s="47">
        <v>496000</v>
      </c>
      <c r="C29" s="47">
        <v>544112.151</v>
      </c>
      <c r="D29" s="47">
        <v>220000</v>
      </c>
      <c r="E29" s="47">
        <v>93978.49</v>
      </c>
      <c r="F29" s="47">
        <v>138797.414</v>
      </c>
      <c r="G29" s="47">
        <v>135519.733</v>
      </c>
      <c r="H29" s="47">
        <v>1728.448</v>
      </c>
      <c r="I29" s="47">
        <v>0</v>
      </c>
      <c r="J29" s="47">
        <v>66385.633</v>
      </c>
      <c r="K29" s="47">
        <v>63177.55</v>
      </c>
      <c r="L29" s="47">
        <v>104291.571</v>
      </c>
      <c r="M29" s="47">
        <v>230708.03</v>
      </c>
      <c r="N29" s="47">
        <v>31093.694</v>
      </c>
      <c r="O29" s="47">
        <v>18794.646</v>
      </c>
      <c r="P29" s="47">
        <v>76021.796</v>
      </c>
      <c r="Q29" s="47">
        <v>66000</v>
      </c>
      <c r="R29" s="47">
        <v>54622.601</v>
      </c>
      <c r="S29" s="47">
        <v>0</v>
      </c>
      <c r="T29" s="47">
        <v>47378.195</v>
      </c>
      <c r="U29" s="47">
        <v>0</v>
      </c>
      <c r="V29" s="47">
        <v>41946.291</v>
      </c>
      <c r="W29" s="47">
        <v>33782.959</v>
      </c>
      <c r="X29" s="47">
        <v>0</v>
      </c>
      <c r="Y29" s="47">
        <v>0</v>
      </c>
      <c r="Z29" s="47">
        <v>0</v>
      </c>
      <c r="AA29" s="47">
        <v>31000</v>
      </c>
      <c r="AB29" s="47">
        <v>0</v>
      </c>
      <c r="AC29" s="47">
        <v>26984.265</v>
      </c>
      <c r="AD29" s="47">
        <v>590803.749</v>
      </c>
      <c r="AE29" s="47">
        <v>3762.695</v>
      </c>
      <c r="AF29" s="47">
        <v>2346.397</v>
      </c>
      <c r="AG29" s="47">
        <v>16284.804</v>
      </c>
      <c r="AH29" s="47">
        <v>0</v>
      </c>
      <c r="AI29" s="47">
        <v>11935.5</v>
      </c>
      <c r="AJ29" s="47">
        <v>3.446</v>
      </c>
      <c r="AK29" s="47">
        <v>9496.76</v>
      </c>
      <c r="AL29" s="47">
        <v>8996.191</v>
      </c>
      <c r="AM29" s="47">
        <v>0</v>
      </c>
      <c r="AN29" s="47">
        <v>0</v>
      </c>
      <c r="AO29" s="47">
        <v>0</v>
      </c>
      <c r="AP29" s="47">
        <f>822.465+2064.001</f>
        <v>2886.4660000000003</v>
      </c>
      <c r="AQ29" s="47">
        <v>0</v>
      </c>
      <c r="AR29" s="47">
        <v>0</v>
      </c>
      <c r="AS29" s="47">
        <v>2966.312</v>
      </c>
      <c r="AT29" s="47">
        <v>13446.958</v>
      </c>
      <c r="AU29" s="47">
        <v>1173.155</v>
      </c>
      <c r="AV29" s="47">
        <v>0</v>
      </c>
      <c r="AW29" s="47">
        <v>51517.206</v>
      </c>
      <c r="AX29" s="47">
        <v>0</v>
      </c>
      <c r="AY29" s="47">
        <v>0</v>
      </c>
      <c r="AZ29" s="47">
        <v>26984.389</v>
      </c>
      <c r="BA29" s="47">
        <v>0</v>
      </c>
      <c r="BB29" s="47">
        <v>0</v>
      </c>
      <c r="BC29" s="47">
        <v>0</v>
      </c>
      <c r="BD29" s="47">
        <v>0</v>
      </c>
      <c r="BE29" s="47">
        <v>0</v>
      </c>
      <c r="BF29" s="47">
        <v>0</v>
      </c>
      <c r="BG29" s="47">
        <v>27765.592</v>
      </c>
      <c r="BH29" s="47">
        <v>0</v>
      </c>
      <c r="BI29" s="47">
        <v>0</v>
      </c>
      <c r="BK29" s="41">
        <f>SUM(B29:BJ29)</f>
        <v>3292693.0869999994</v>
      </c>
      <c r="BL29" s="41"/>
      <c r="BM29" s="41">
        <f>C29+V29+AD29+AH29+AN29+AP29+AS29+AU29+AW29+AZ29+BB29+BD29+BE29+BG29</f>
        <v>1290155.3109999998</v>
      </c>
      <c r="BN29" s="41">
        <f>B29+D29+E29+F29+G29+H29+I29+J29+K29+L29+M29+N29+O29+P29+Q29+R29+S29+T29+U29+W29+X29+Y29+Z29+AA29+AB29+AC29+AE29+AF29+AG29+AI29+AJ29+AK29+AM29+AL29+AO29+AQ29+AT29+AV29+AX29+AY29+BA29+BC29+BH29+BI29+AR29+BF29</f>
        <v>2002537.7760000005</v>
      </c>
      <c r="BO29" s="47"/>
    </row>
    <row r="30" spans="1:67" ht="12.75">
      <c r="A30" s="62" t="s">
        <v>398</v>
      </c>
      <c r="B30" s="47">
        <v>17964.17</v>
      </c>
      <c r="C30" s="47">
        <v>21825.919</v>
      </c>
      <c r="D30" s="47">
        <v>82077.805</v>
      </c>
      <c r="E30" s="47">
        <v>27532.948</v>
      </c>
      <c r="F30" s="47">
        <v>6642.424</v>
      </c>
      <c r="G30" s="47">
        <v>1562.984</v>
      </c>
      <c r="H30" s="47">
        <v>0</v>
      </c>
      <c r="I30" s="47">
        <v>2255.038</v>
      </c>
      <c r="J30" s="47">
        <v>47016.176</v>
      </c>
      <c r="K30" s="47">
        <v>125110.208</v>
      </c>
      <c r="L30" s="47">
        <v>7229.91</v>
      </c>
      <c r="M30" s="47">
        <v>1256.27</v>
      </c>
      <c r="N30" s="47">
        <v>1702.365</v>
      </c>
      <c r="O30" s="47">
        <v>27410.692</v>
      </c>
      <c r="P30" s="47">
        <v>2106.986</v>
      </c>
      <c r="Q30" s="47">
        <v>741.84</v>
      </c>
      <c r="R30" s="47">
        <v>572.979</v>
      </c>
      <c r="S30" s="47">
        <v>0</v>
      </c>
      <c r="T30" s="47">
        <v>6778.96</v>
      </c>
      <c r="U30" s="47">
        <v>3042.581</v>
      </c>
      <c r="V30" s="47">
        <v>0</v>
      </c>
      <c r="W30" s="47">
        <v>9421.422</v>
      </c>
      <c r="X30" s="47">
        <v>0</v>
      </c>
      <c r="Y30" s="47">
        <v>1792</v>
      </c>
      <c r="Z30" s="47">
        <v>1101.377</v>
      </c>
      <c r="AA30" s="47">
        <v>0</v>
      </c>
      <c r="AB30" s="47">
        <v>644.906</v>
      </c>
      <c r="AC30" s="47">
        <v>0</v>
      </c>
      <c r="AD30" s="47">
        <f>117055.956+200</f>
        <v>117255.956</v>
      </c>
      <c r="AE30" s="47">
        <v>209108.728</v>
      </c>
      <c r="AF30" s="47">
        <v>0</v>
      </c>
      <c r="AG30" s="47">
        <v>0</v>
      </c>
      <c r="AH30" s="47">
        <v>1505.477</v>
      </c>
      <c r="AI30" s="47">
        <v>590.384</v>
      </c>
      <c r="AJ30" s="47">
        <v>0</v>
      </c>
      <c r="AK30" s="47">
        <v>6063.907</v>
      </c>
      <c r="AL30" s="47">
        <v>1364.101</v>
      </c>
      <c r="AM30" s="47">
        <v>0</v>
      </c>
      <c r="AN30" s="47">
        <v>1765.665</v>
      </c>
      <c r="AO30" s="47">
        <v>4660.056</v>
      </c>
      <c r="AP30" s="47">
        <v>15781.459</v>
      </c>
      <c r="AQ30" s="47">
        <v>0</v>
      </c>
      <c r="AR30" s="47">
        <v>70563.982</v>
      </c>
      <c r="AS30" s="47">
        <v>0</v>
      </c>
      <c r="AT30" s="47">
        <v>6580.544</v>
      </c>
      <c r="AU30" s="47">
        <v>0</v>
      </c>
      <c r="AV30" s="47">
        <v>86.218</v>
      </c>
      <c r="AW30" s="47">
        <v>38903.031</v>
      </c>
      <c r="AX30" s="47">
        <v>0</v>
      </c>
      <c r="AY30" s="47">
        <v>0</v>
      </c>
      <c r="AZ30" s="47">
        <v>0</v>
      </c>
      <c r="BA30" s="47">
        <v>0</v>
      </c>
      <c r="BB30" s="47">
        <v>207.637</v>
      </c>
      <c r="BC30" s="47">
        <v>300</v>
      </c>
      <c r="BD30" s="47">
        <v>0</v>
      </c>
      <c r="BE30" s="47">
        <v>0</v>
      </c>
      <c r="BF30" s="47">
        <v>3192.221</v>
      </c>
      <c r="BG30" s="47">
        <v>0</v>
      </c>
      <c r="BH30" s="47">
        <v>0</v>
      </c>
      <c r="BI30" s="47">
        <v>0</v>
      </c>
      <c r="BK30" s="41">
        <f>SUM(B30:BJ30)</f>
        <v>873719.326</v>
      </c>
      <c r="BL30" s="41"/>
      <c r="BM30" s="41">
        <f>C30+V30+AD30+AH30+AN30+AP30+AS30+AU30+AW30+AZ30+BB30+BD30+BE30+BG30</f>
        <v>197245.14400000003</v>
      </c>
      <c r="BN30" s="41">
        <f>B30+D30+E30+F30+G30+H30+I30+J30+K30+L30+M30+N30+O30+P30+Q30+R30+S30+T30+U30+W30+X30+Y30+Z30+AA30+AB30+AC30+AE30+AF30+AG30+AI30+AJ30+AK30+AM30+AL30+AO30+AQ30+AT30+AV30+AX30+AY30+BA30+BC30+BH30+BI30+AR30+BF30</f>
        <v>676474.182</v>
      </c>
      <c r="BO30" s="47"/>
    </row>
    <row r="31" spans="1:67" ht="12.75">
      <c r="A31" s="61" t="s">
        <v>329</v>
      </c>
      <c r="B31" s="41">
        <f>SUM(B28:B30)</f>
        <v>513964.17</v>
      </c>
      <c r="C31" s="41">
        <f>SUM(C28:C30)</f>
        <v>565938.07</v>
      </c>
      <c r="D31" s="41">
        <f aca="true" t="shared" si="10" ref="D31:AQ31">SUM(D28:D30)</f>
        <v>302077.805</v>
      </c>
      <c r="E31" s="41">
        <f>SUM(E28:E30)</f>
        <v>122774.418</v>
      </c>
      <c r="F31" s="41">
        <f t="shared" si="10"/>
        <v>145439.838</v>
      </c>
      <c r="G31" s="41">
        <f t="shared" si="10"/>
        <v>137082.717</v>
      </c>
      <c r="H31" s="41">
        <f t="shared" si="10"/>
        <v>1728.448</v>
      </c>
      <c r="I31" s="41">
        <f t="shared" si="10"/>
        <v>2255.038</v>
      </c>
      <c r="J31" s="41">
        <f t="shared" si="10"/>
        <v>113401.80900000001</v>
      </c>
      <c r="K31" s="41">
        <f t="shared" si="10"/>
        <v>188287.758</v>
      </c>
      <c r="L31" s="41">
        <f t="shared" si="10"/>
        <v>111521.481</v>
      </c>
      <c r="M31" s="41">
        <f>SUM(M28:M30)</f>
        <v>231964.3</v>
      </c>
      <c r="N31" s="41">
        <f t="shared" si="10"/>
        <v>32796.059</v>
      </c>
      <c r="O31" s="41">
        <f t="shared" si="10"/>
        <v>46205.338</v>
      </c>
      <c r="P31" s="41">
        <f>SUM(P28:P30)</f>
        <v>78128.782</v>
      </c>
      <c r="Q31" s="41">
        <f t="shared" si="10"/>
        <v>66741.84</v>
      </c>
      <c r="R31" s="41">
        <f t="shared" si="10"/>
        <v>55195.58</v>
      </c>
      <c r="S31" s="41">
        <f>SUM(S28:S30)</f>
        <v>0</v>
      </c>
      <c r="T31" s="41">
        <f t="shared" si="10"/>
        <v>54157.155</v>
      </c>
      <c r="U31" s="41">
        <f>SUM(U28:U30)</f>
        <v>3042.581</v>
      </c>
      <c r="V31" s="41">
        <f>SUM(V28:V30)</f>
        <v>41946.291</v>
      </c>
      <c r="W31" s="41">
        <f>SUM(W29:W30)</f>
        <v>43204.381</v>
      </c>
      <c r="X31" s="41">
        <f t="shared" si="10"/>
        <v>0</v>
      </c>
      <c r="Y31" s="41">
        <f>SUM(Y28:Y30)</f>
        <v>1792</v>
      </c>
      <c r="Z31" s="41">
        <f>SUM(Z28:Z30)</f>
        <v>1101.377</v>
      </c>
      <c r="AA31" s="41">
        <f t="shared" si="10"/>
        <v>31000</v>
      </c>
      <c r="AB31" s="41">
        <f>SUM(AB28:AB30)</f>
        <v>644.906</v>
      </c>
      <c r="AC31" s="41">
        <f>SUM(AC28:AC30)</f>
        <v>26984.265</v>
      </c>
      <c r="AD31" s="41">
        <f t="shared" si="10"/>
        <v>708059.705</v>
      </c>
      <c r="AE31" s="41">
        <f>SUM(AE28:AE30)</f>
        <v>212871.423</v>
      </c>
      <c r="AF31" s="41">
        <f t="shared" si="10"/>
        <v>2346.397</v>
      </c>
      <c r="AG31" s="41">
        <f t="shared" si="10"/>
        <v>16284.804</v>
      </c>
      <c r="AH31" s="41">
        <f t="shared" si="10"/>
        <v>1505.477</v>
      </c>
      <c r="AI31" s="41">
        <f>SUM(AI28:AI30)</f>
        <v>12525.884</v>
      </c>
      <c r="AJ31" s="41">
        <f t="shared" si="10"/>
        <v>3.446</v>
      </c>
      <c r="AK31" s="41">
        <f t="shared" si="10"/>
        <v>15560.667000000001</v>
      </c>
      <c r="AL31" s="41">
        <f>SUM(AL28:AL30)</f>
        <v>10360.292000000001</v>
      </c>
      <c r="AM31" s="41">
        <f>SUM(AM28:AM30)</f>
        <v>0</v>
      </c>
      <c r="AN31" s="41">
        <f t="shared" si="10"/>
        <v>1765.665</v>
      </c>
      <c r="AO31" s="41">
        <f t="shared" si="10"/>
        <v>4660.056</v>
      </c>
      <c r="AP31" s="41">
        <f t="shared" si="10"/>
        <v>18667.925000000003</v>
      </c>
      <c r="AQ31" s="41">
        <f t="shared" si="10"/>
        <v>0</v>
      </c>
      <c r="AR31" s="41">
        <f>SUM(AR28:AR30)</f>
        <v>70563.982</v>
      </c>
      <c r="AS31" s="41">
        <f aca="true" t="shared" si="11" ref="AS31:BI31">SUM(AS28:AS30)</f>
        <v>2966.312</v>
      </c>
      <c r="AT31" s="41">
        <f>SUM(AT28:AT30)</f>
        <v>20027.502</v>
      </c>
      <c r="AU31" s="41">
        <f t="shared" si="11"/>
        <v>1173.155</v>
      </c>
      <c r="AV31" s="41">
        <f t="shared" si="11"/>
        <v>86.218</v>
      </c>
      <c r="AW31" s="41">
        <f>SUM(AW28:AW30)</f>
        <v>90420.237</v>
      </c>
      <c r="AX31" s="41">
        <f t="shared" si="11"/>
        <v>0</v>
      </c>
      <c r="AY31" s="41">
        <f t="shared" si="11"/>
        <v>0</v>
      </c>
      <c r="AZ31" s="41">
        <f>SUM(AZ28:AZ30)</f>
        <v>26984.389</v>
      </c>
      <c r="BA31" s="41">
        <f t="shared" si="11"/>
        <v>0</v>
      </c>
      <c r="BB31" s="41">
        <f t="shared" si="11"/>
        <v>207.637</v>
      </c>
      <c r="BC31" s="41">
        <f t="shared" si="11"/>
        <v>300</v>
      </c>
      <c r="BD31" s="41">
        <f t="shared" si="11"/>
        <v>0</v>
      </c>
      <c r="BE31" s="41">
        <f>SUM(BE28:BE30)</f>
        <v>0</v>
      </c>
      <c r="BF31" s="41">
        <f>SUM(BF28:BF30)</f>
        <v>3192.221</v>
      </c>
      <c r="BG31" s="41">
        <f t="shared" si="11"/>
        <v>27765.592</v>
      </c>
      <c r="BH31" s="41">
        <f t="shared" si="11"/>
        <v>0</v>
      </c>
      <c r="BI31" s="41">
        <f t="shared" si="11"/>
        <v>0</v>
      </c>
      <c r="BK31" s="41">
        <f>SUM(B31:BJ31)</f>
        <v>4167675.3929999988</v>
      </c>
      <c r="BL31" s="41"/>
      <c r="BM31" s="41">
        <f>C31+V31+AD31+AH31+AN31+AP31+AS31+AU31+AW31+AZ31+BB31+BD31+BE31+BG31</f>
        <v>1487400.4549999998</v>
      </c>
      <c r="BN31" s="41">
        <f>B31+D31+E31+F31+G31+H31+I31+J31+K31+L31+M31+N31+O31+P31+Q31+R31+S31+T31+U31+W31+X31+Y31+Z31+AA31+AB31+AC31+AE31+AF31+AG31+AI31+AJ31+AK31+AM31+AL31+AO31+AQ31+AT31+AV31+AX31+AY31+BA31+BC31+BH31+BI31+AR31+BF31</f>
        <v>2680274.937999998</v>
      </c>
      <c r="BO31" s="41"/>
    </row>
    <row r="32" spans="1:66" ht="5.25" customHeight="1">
      <c r="A32" s="64"/>
      <c r="BK32" s="41"/>
      <c r="BL32" s="41"/>
      <c r="BM32" s="41"/>
      <c r="BN32" s="41"/>
    </row>
    <row r="33" spans="1:66" ht="12.75">
      <c r="A33" s="60" t="s">
        <v>399</v>
      </c>
      <c r="BK33" s="41"/>
      <c r="BL33" s="41"/>
      <c r="BM33" s="41"/>
      <c r="BN33" s="41"/>
    </row>
    <row r="34" spans="1:67" ht="12.75">
      <c r="A34" s="64" t="s">
        <v>400</v>
      </c>
      <c r="B34" s="47">
        <v>64784.737</v>
      </c>
      <c r="C34" s="47">
        <v>13158.218</v>
      </c>
      <c r="D34" s="47">
        <v>9290.586</v>
      </c>
      <c r="E34" s="47">
        <v>40541.108</v>
      </c>
      <c r="F34" s="47">
        <v>4763.584</v>
      </c>
      <c r="G34" s="47">
        <v>4591.334</v>
      </c>
      <c r="H34" s="47">
        <v>7068.192</v>
      </c>
      <c r="I34" s="47">
        <v>1441.479</v>
      </c>
      <c r="J34" s="47">
        <v>16666.796</v>
      </c>
      <c r="K34" s="47">
        <v>2414.049</v>
      </c>
      <c r="L34" s="47">
        <v>0</v>
      </c>
      <c r="M34" s="47">
        <v>909.004</v>
      </c>
      <c r="N34" s="47">
        <v>0</v>
      </c>
      <c r="O34" s="47">
        <v>0</v>
      </c>
      <c r="P34" s="47">
        <v>5643.074</v>
      </c>
      <c r="Q34" s="47">
        <v>1416.208</v>
      </c>
      <c r="R34" s="47">
        <v>4488.061</v>
      </c>
      <c r="S34" s="47">
        <v>0</v>
      </c>
      <c r="T34" s="47">
        <v>0</v>
      </c>
      <c r="U34" s="47">
        <v>0</v>
      </c>
      <c r="V34" s="47">
        <v>1462.024</v>
      </c>
      <c r="W34" s="47">
        <v>180.24</v>
      </c>
      <c r="X34" s="47">
        <v>0</v>
      </c>
      <c r="Y34" s="47">
        <v>0</v>
      </c>
      <c r="Z34" s="47">
        <v>0</v>
      </c>
      <c r="AA34" s="47">
        <v>355.234</v>
      </c>
      <c r="AB34" s="47">
        <v>0</v>
      </c>
      <c r="AC34" s="47">
        <v>2257.613</v>
      </c>
      <c r="AD34" s="47">
        <v>0</v>
      </c>
      <c r="AE34" s="47">
        <v>2092.256</v>
      </c>
      <c r="AF34" s="47">
        <v>0</v>
      </c>
      <c r="AG34" s="47">
        <v>0</v>
      </c>
      <c r="AH34" s="47">
        <v>0</v>
      </c>
      <c r="AI34" s="47">
        <v>0</v>
      </c>
      <c r="AJ34" s="47">
        <v>0</v>
      </c>
      <c r="AK34" s="47">
        <v>1392.072</v>
      </c>
      <c r="AL34" s="47">
        <v>0</v>
      </c>
      <c r="AM34" s="47">
        <v>0</v>
      </c>
      <c r="AN34" s="47">
        <v>0</v>
      </c>
      <c r="AO34" s="47">
        <v>0</v>
      </c>
      <c r="AP34" s="47">
        <v>0</v>
      </c>
      <c r="AQ34" s="47">
        <v>0</v>
      </c>
      <c r="AR34" s="47">
        <v>0</v>
      </c>
      <c r="AS34" s="47">
        <v>0</v>
      </c>
      <c r="AT34" s="47">
        <v>563.82</v>
      </c>
      <c r="AU34" s="47">
        <v>0</v>
      </c>
      <c r="AV34" s="47">
        <v>0</v>
      </c>
      <c r="AW34" s="47">
        <v>11118.722</v>
      </c>
      <c r="AX34" s="47">
        <v>0</v>
      </c>
      <c r="AY34" s="47">
        <v>0</v>
      </c>
      <c r="AZ34" s="47">
        <v>0</v>
      </c>
      <c r="BA34" s="47">
        <v>0</v>
      </c>
      <c r="BB34" s="47">
        <v>0</v>
      </c>
      <c r="BC34" s="47">
        <v>182.425</v>
      </c>
      <c r="BD34" s="47">
        <v>0</v>
      </c>
      <c r="BE34" s="47">
        <v>0</v>
      </c>
      <c r="BF34" s="47">
        <v>0</v>
      </c>
      <c r="BG34" s="47">
        <v>0</v>
      </c>
      <c r="BH34" s="47">
        <v>0</v>
      </c>
      <c r="BI34" s="47">
        <v>0</v>
      </c>
      <c r="BK34" s="41">
        <f>SUM(B34:BJ34)</f>
        <v>196780.83599999998</v>
      </c>
      <c r="BL34" s="41"/>
      <c r="BM34" s="41">
        <f>C34+V34+AD34+AH34+AN34+AP34+AS34+AU34+AW34+AZ34+BB34+BD34+BE34+BG34</f>
        <v>25738.964</v>
      </c>
      <c r="BN34" s="41">
        <f>B34+D34+E34+F34+G34+H34+I34+J34+K34+L34+M34+N34+O34+P34+Q34+R34+S34+T34+U34+W34+X34+Y34+Z34+AA34+AB34+AC34+AE34+AF34+AG34+AI34+AJ34+AK34+AM34+AL34+AO34+AQ34+AT34+AV34+AX34+AY34+BA34+BC34+BH34+BI34+AR34+BF34</f>
        <v>171041.87199999997</v>
      </c>
      <c r="BO34" s="47"/>
    </row>
    <row r="35" spans="1:67" ht="12.75">
      <c r="A35" s="64" t="s">
        <v>464</v>
      </c>
      <c r="B35" s="47">
        <v>314493.868</v>
      </c>
      <c r="C35" s="47">
        <v>1111951.608</v>
      </c>
      <c r="D35" s="47">
        <v>212416.116</v>
      </c>
      <c r="E35" s="47">
        <v>769122.388</v>
      </c>
      <c r="F35" s="47">
        <v>333248.097</v>
      </c>
      <c r="G35" s="47">
        <v>103997.022</v>
      </c>
      <c r="H35" s="47">
        <v>37620.786</v>
      </c>
      <c r="I35" s="47">
        <v>774859.136</v>
      </c>
      <c r="J35" s="47">
        <v>124529.861</v>
      </c>
      <c r="K35" s="47">
        <v>70490.741</v>
      </c>
      <c r="L35" s="47">
        <v>90533.802</v>
      </c>
      <c r="M35" s="47">
        <v>23860.358</v>
      </c>
      <c r="N35" s="47">
        <v>60044.726</v>
      </c>
      <c r="O35" s="47">
        <v>33178.954</v>
      </c>
      <c r="P35" s="47">
        <v>6602.22</v>
      </c>
      <c r="Q35" s="47">
        <v>407656.441</v>
      </c>
      <c r="R35" s="47">
        <v>141449.186</v>
      </c>
      <c r="S35" s="47">
        <v>88861.911</v>
      </c>
      <c r="T35" s="47">
        <v>263499.935</v>
      </c>
      <c r="U35" s="47">
        <v>86012.547</v>
      </c>
      <c r="V35" s="47">
        <v>149723.764</v>
      </c>
      <c r="W35" s="47">
        <v>128283.835</v>
      </c>
      <c r="X35" s="47">
        <v>23860.262</v>
      </c>
      <c r="Y35" s="47">
        <v>34902</v>
      </c>
      <c r="Z35" s="47">
        <v>21803.818</v>
      </c>
      <c r="AA35" s="47">
        <v>21219.487</v>
      </c>
      <c r="AB35" s="47">
        <v>2752.969</v>
      </c>
      <c r="AC35" s="47">
        <v>635939.699</v>
      </c>
      <c r="AD35" s="47">
        <v>0</v>
      </c>
      <c r="AE35" s="47">
        <v>141691.105</v>
      </c>
      <c r="AF35" s="47">
        <v>42101.787</v>
      </c>
      <c r="AG35" s="47">
        <v>1720.848</v>
      </c>
      <c r="AH35" s="47">
        <v>7619.566</v>
      </c>
      <c r="AI35" s="47">
        <v>79926.198</v>
      </c>
      <c r="AJ35" s="47">
        <v>8265.917</v>
      </c>
      <c r="AK35" s="47">
        <v>384243.659</v>
      </c>
      <c r="AL35" s="47">
        <v>10314.914</v>
      </c>
      <c r="AM35" s="47">
        <v>3215.458</v>
      </c>
      <c r="AN35" s="47">
        <v>76706.521</v>
      </c>
      <c r="AO35" s="47">
        <v>2069.299</v>
      </c>
      <c r="AP35" s="47">
        <f>9828.059+469.806</f>
        <v>10297.865</v>
      </c>
      <c r="AQ35" s="47">
        <v>3730.703</v>
      </c>
      <c r="AR35" s="47">
        <v>25543.756</v>
      </c>
      <c r="AS35" s="47">
        <v>10262.626</v>
      </c>
      <c r="AT35" s="47">
        <v>48187.531</v>
      </c>
      <c r="AU35" s="47">
        <v>3102.195</v>
      </c>
      <c r="AV35" s="47">
        <v>593.562</v>
      </c>
      <c r="AW35" s="47">
        <f>30077.482+557.829</f>
        <v>30635.311</v>
      </c>
      <c r="AX35" s="47">
        <v>43.258</v>
      </c>
      <c r="AY35" s="47">
        <v>1255.948</v>
      </c>
      <c r="AZ35" s="47">
        <v>43945.674</v>
      </c>
      <c r="BA35" s="47">
        <v>23216.055</v>
      </c>
      <c r="BB35" s="47">
        <v>19027.539</v>
      </c>
      <c r="BC35" s="47">
        <v>1751.445</v>
      </c>
      <c r="BD35" s="47">
        <v>58456.396</v>
      </c>
      <c r="BE35" s="47">
        <v>42909.156</v>
      </c>
      <c r="BF35" s="47">
        <v>2111.334</v>
      </c>
      <c r="BG35" s="47">
        <v>2637.268</v>
      </c>
      <c r="BH35" s="47">
        <v>0</v>
      </c>
      <c r="BI35" s="47">
        <v>744.248</v>
      </c>
      <c r="BK35" s="41">
        <f>SUM(B35:BJ35)</f>
        <v>7159242.678999999</v>
      </c>
      <c r="BL35" s="41"/>
      <c r="BM35" s="41">
        <f>C35+V35+AD35+AH35+AN35+AP35+AS35+AU35+AW35+AZ35+BB35+BD35+BE35+BG35</f>
        <v>1567275.4889999998</v>
      </c>
      <c r="BN35" s="41">
        <f>B35+D35+E35+F35+G35+H35+I35+J35+K35+L35+M35+N35+O35+P35+Q35+R35+S35+T35+U35+W35+X35+Y35+Z35+AA35+AB35+AC35+AE35+AF35+AG35+AI35+AJ35+AK35+AM35+AL35+AO35+AQ35+AT35+AV35+AX35+AY35+BA35+BC35+BH35+BI35+AR35+BF35</f>
        <v>5591967.19</v>
      </c>
      <c r="BO35" s="47"/>
    </row>
    <row r="36" spans="1:67" ht="12.75">
      <c r="A36" s="64" t="s">
        <v>401</v>
      </c>
      <c r="B36" s="47">
        <v>0</v>
      </c>
      <c r="C36" s="47">
        <v>0</v>
      </c>
      <c r="D36" s="47">
        <v>0</v>
      </c>
      <c r="E36" s="47">
        <v>0</v>
      </c>
      <c r="F36" s="47">
        <v>0</v>
      </c>
      <c r="G36" s="47">
        <v>0</v>
      </c>
      <c r="H36" s="47">
        <v>349.634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v>0</v>
      </c>
      <c r="P36" s="47">
        <v>0</v>
      </c>
      <c r="Q36" s="47">
        <v>0</v>
      </c>
      <c r="R36" s="47">
        <v>0</v>
      </c>
      <c r="S36" s="47">
        <v>0</v>
      </c>
      <c r="T36" s="47">
        <v>0</v>
      </c>
      <c r="U36" s="47">
        <v>0</v>
      </c>
      <c r="V36" s="47">
        <v>0</v>
      </c>
      <c r="W36" s="47">
        <v>0</v>
      </c>
      <c r="X36" s="47">
        <v>0</v>
      </c>
      <c r="Y36" s="47">
        <v>0</v>
      </c>
      <c r="Z36" s="47">
        <v>0</v>
      </c>
      <c r="AA36" s="47">
        <v>0</v>
      </c>
      <c r="AB36" s="47">
        <v>0</v>
      </c>
      <c r="AC36" s="47">
        <v>0</v>
      </c>
      <c r="AD36" s="47">
        <v>0</v>
      </c>
      <c r="AE36" s="47">
        <v>0</v>
      </c>
      <c r="AF36" s="47">
        <v>0</v>
      </c>
      <c r="AG36" s="47">
        <v>0</v>
      </c>
      <c r="AH36" s="47">
        <v>0</v>
      </c>
      <c r="AI36" s="47">
        <v>0</v>
      </c>
      <c r="AJ36" s="47">
        <v>0</v>
      </c>
      <c r="AK36" s="47">
        <v>0</v>
      </c>
      <c r="AL36" s="47">
        <v>0</v>
      </c>
      <c r="AM36" s="47">
        <v>0</v>
      </c>
      <c r="AN36" s="47">
        <v>0</v>
      </c>
      <c r="AO36" s="47">
        <v>0</v>
      </c>
      <c r="AP36" s="47">
        <v>0</v>
      </c>
      <c r="AQ36" s="47">
        <v>0</v>
      </c>
      <c r="AR36" s="47">
        <v>0</v>
      </c>
      <c r="AS36" s="47">
        <v>0</v>
      </c>
      <c r="AT36" s="47">
        <v>0</v>
      </c>
      <c r="AU36" s="47">
        <v>0</v>
      </c>
      <c r="AV36" s="47">
        <v>0</v>
      </c>
      <c r="AW36" s="47">
        <v>0</v>
      </c>
      <c r="AX36" s="47">
        <v>0</v>
      </c>
      <c r="AY36" s="47">
        <v>0</v>
      </c>
      <c r="AZ36" s="47">
        <v>0</v>
      </c>
      <c r="BA36" s="47">
        <v>0</v>
      </c>
      <c r="BB36" s="47">
        <v>0</v>
      </c>
      <c r="BC36" s="47">
        <v>0</v>
      </c>
      <c r="BD36" s="47">
        <v>0</v>
      </c>
      <c r="BE36" s="47">
        <v>0</v>
      </c>
      <c r="BF36" s="47">
        <v>0</v>
      </c>
      <c r="BG36" s="47">
        <v>0</v>
      </c>
      <c r="BH36" s="47">
        <v>0</v>
      </c>
      <c r="BI36" s="47">
        <v>0</v>
      </c>
      <c r="BK36" s="41">
        <f>SUM(B36:BJ36)</f>
        <v>349.634</v>
      </c>
      <c r="BL36" s="41"/>
      <c r="BM36" s="41">
        <f>C36+V36+AD36+AH36+AN36+AP36+AS36+AU36+AW36+AZ36+BB36+BD36+BE36+BG36</f>
        <v>0</v>
      </c>
      <c r="BN36" s="41">
        <f>B36+D36+E36+F36+G36+H36+I36+J36+K36+L36+M36+N36+O36+P36+Q36+R36+S36+T36+U36+W36+X36+Y36+Z36+AA36+AB36+AC36+AE36+AF36+AG36+AI36+AJ36+AK36+AM36+AL36+AO36+AQ36+AT36+AV36+AX36+AY36+BA36+BC36+BH36+BI36+AR36+BF36</f>
        <v>349.634</v>
      </c>
      <c r="BO36" s="47"/>
    </row>
    <row r="37" spans="1:67" ht="12.75">
      <c r="A37" s="61" t="s">
        <v>330</v>
      </c>
      <c r="B37" s="41">
        <f>SUM(B34:B36)</f>
        <v>379278.60500000004</v>
      </c>
      <c r="C37" s="41">
        <f>SUM(C34:C36)</f>
        <v>1125109.8260000001</v>
      </c>
      <c r="D37" s="41">
        <f>SUM(D34:D36)</f>
        <v>221706.70200000002</v>
      </c>
      <c r="E37" s="41">
        <f>SUM(E34:E36)</f>
        <v>809663.496</v>
      </c>
      <c r="F37" s="41">
        <f aca="true" t="shared" si="12" ref="F37:X37">SUM(F34:F36)</f>
        <v>338011.681</v>
      </c>
      <c r="G37" s="41">
        <f t="shared" si="12"/>
        <v>108588.356</v>
      </c>
      <c r="H37" s="41">
        <f t="shared" si="12"/>
        <v>45038.612</v>
      </c>
      <c r="I37" s="41">
        <f t="shared" si="12"/>
        <v>776300.6150000001</v>
      </c>
      <c r="J37" s="41">
        <f t="shared" si="12"/>
        <v>141196.657</v>
      </c>
      <c r="K37" s="41">
        <f t="shared" si="12"/>
        <v>72904.79</v>
      </c>
      <c r="L37" s="41">
        <f t="shared" si="12"/>
        <v>90533.802</v>
      </c>
      <c r="M37" s="41">
        <f>SUM(M34:M36)</f>
        <v>24769.362</v>
      </c>
      <c r="N37" s="41">
        <f t="shared" si="12"/>
        <v>60044.726</v>
      </c>
      <c r="O37" s="41">
        <f t="shared" si="12"/>
        <v>33178.954</v>
      </c>
      <c r="P37" s="41">
        <f>SUM(P34:P36)</f>
        <v>12245.294</v>
      </c>
      <c r="Q37" s="41">
        <f t="shared" si="12"/>
        <v>409072.649</v>
      </c>
      <c r="R37" s="41">
        <f t="shared" si="12"/>
        <v>145937.24699999997</v>
      </c>
      <c r="S37" s="41">
        <f>SUM(S34:S36)</f>
        <v>88861.911</v>
      </c>
      <c r="T37" s="41">
        <f t="shared" si="12"/>
        <v>263499.935</v>
      </c>
      <c r="U37" s="41">
        <f>SUM(U34:U36)</f>
        <v>86012.547</v>
      </c>
      <c r="V37" s="41">
        <f>SUM(V34:V36)</f>
        <v>151185.788</v>
      </c>
      <c r="W37" s="41">
        <f>SUM(W34:W36)</f>
        <v>128464.07500000001</v>
      </c>
      <c r="X37" s="41">
        <f t="shared" si="12"/>
        <v>23860.262</v>
      </c>
      <c r="Y37" s="41">
        <f>SUM(Y34:Y36)</f>
        <v>34902</v>
      </c>
      <c r="Z37" s="41">
        <f aca="true" t="shared" si="13" ref="Z37:AX37">SUM(Z34:Z36)</f>
        <v>21803.818</v>
      </c>
      <c r="AA37" s="41">
        <f t="shared" si="13"/>
        <v>21574.721</v>
      </c>
      <c r="AB37" s="41">
        <f>SUM(AB34:AB36)</f>
        <v>2752.969</v>
      </c>
      <c r="AC37" s="41">
        <f>SUM(AC34:AC36)</f>
        <v>638197.312</v>
      </c>
      <c r="AD37" s="41">
        <f t="shared" si="13"/>
        <v>0</v>
      </c>
      <c r="AE37" s="41">
        <f>SUM(AE34:AE36)</f>
        <v>143783.361</v>
      </c>
      <c r="AF37" s="41">
        <f t="shared" si="13"/>
        <v>42101.787</v>
      </c>
      <c r="AG37" s="41">
        <f t="shared" si="13"/>
        <v>1720.848</v>
      </c>
      <c r="AH37" s="41">
        <f t="shared" si="13"/>
        <v>7619.566</v>
      </c>
      <c r="AI37" s="41">
        <f>SUM(AI34:AI36)</f>
        <v>79926.198</v>
      </c>
      <c r="AJ37" s="41">
        <f t="shared" si="13"/>
        <v>8265.917</v>
      </c>
      <c r="AK37" s="41">
        <f t="shared" si="13"/>
        <v>385635.73099999997</v>
      </c>
      <c r="AL37" s="41">
        <f>SUM(AL34:AL36)</f>
        <v>10314.914</v>
      </c>
      <c r="AM37" s="41">
        <f>SUM(AM34:AM36)</f>
        <v>3215.458</v>
      </c>
      <c r="AN37" s="41">
        <f t="shared" si="13"/>
        <v>76706.521</v>
      </c>
      <c r="AO37" s="41">
        <f t="shared" si="13"/>
        <v>2069.299</v>
      </c>
      <c r="AP37" s="41">
        <f t="shared" si="13"/>
        <v>10297.865</v>
      </c>
      <c r="AQ37" s="41">
        <f t="shared" si="13"/>
        <v>3730.703</v>
      </c>
      <c r="AR37" s="41">
        <f>SUM(AR34:AR36)</f>
        <v>25543.756</v>
      </c>
      <c r="AS37" s="41">
        <f t="shared" si="13"/>
        <v>10262.626</v>
      </c>
      <c r="AT37" s="41">
        <f>SUM(AT34:AT36)</f>
        <v>48751.351</v>
      </c>
      <c r="AU37" s="41">
        <f t="shared" si="13"/>
        <v>3102.195</v>
      </c>
      <c r="AV37" s="41">
        <f t="shared" si="13"/>
        <v>593.562</v>
      </c>
      <c r="AW37" s="41">
        <f>SUM(AW34:AW36)</f>
        <v>41754.033</v>
      </c>
      <c r="AX37" s="41">
        <f t="shared" si="13"/>
        <v>43.258</v>
      </c>
      <c r="AY37" s="41">
        <f aca="true" t="shared" si="14" ref="AY37:BI37">SUM(AY34:AY36)</f>
        <v>1255.948</v>
      </c>
      <c r="AZ37" s="41">
        <f>SUM(AZ34:AZ36)</f>
        <v>43945.674</v>
      </c>
      <c r="BA37" s="41">
        <f t="shared" si="14"/>
        <v>23216.055</v>
      </c>
      <c r="BB37" s="41">
        <f t="shared" si="14"/>
        <v>19027.539</v>
      </c>
      <c r="BC37" s="41">
        <f t="shared" si="14"/>
        <v>1933.87</v>
      </c>
      <c r="BD37" s="41">
        <f t="shared" si="14"/>
        <v>58456.396</v>
      </c>
      <c r="BE37" s="41">
        <f>SUM(BE34:BE36)</f>
        <v>42909.156</v>
      </c>
      <c r="BF37" s="41">
        <f>SUM(BF34:BF36)</f>
        <v>2111.334</v>
      </c>
      <c r="BG37" s="41">
        <f t="shared" si="14"/>
        <v>2637.268</v>
      </c>
      <c r="BH37" s="41">
        <f t="shared" si="14"/>
        <v>0</v>
      </c>
      <c r="BI37" s="41">
        <f t="shared" si="14"/>
        <v>744.248</v>
      </c>
      <c r="BK37" s="41">
        <f>SUM(B37:BJ37)</f>
        <v>7356373.148999998</v>
      </c>
      <c r="BL37" s="41"/>
      <c r="BM37" s="41">
        <f>C37+V37+AD37+AH37+AN37+AP37+AS37+AU37+AW37+AZ37+BB37+BD37+BE37+BG37</f>
        <v>1593014.453</v>
      </c>
      <c r="BN37" s="41">
        <f>B37+D37+E37+F37+G37+H37+I37+J37+K37+L37+M37+N37+O37+P37+Q37+R37+S37+T37+U37+W37+X37+Y37+Z37+AA37+AB37+AC37+AE37+AF37+AG37+AI37+AJ37+AK37+AM37+AL37+AO37+AQ37+AT37+AV37+AX37+AY37+BA37+BC37+BH37+BI37+AR37+BF37</f>
        <v>5763358.695999998</v>
      </c>
      <c r="BO37" s="41"/>
    </row>
    <row r="38" spans="1:66" ht="6" customHeight="1">
      <c r="A38" s="60"/>
      <c r="BK38" s="41"/>
      <c r="BL38" s="41"/>
      <c r="BM38" s="41"/>
      <c r="BN38" s="41"/>
    </row>
    <row r="39" spans="1:67" ht="12.75">
      <c r="A39" s="64" t="s">
        <v>388</v>
      </c>
      <c r="B39" s="41">
        <v>0</v>
      </c>
      <c r="C39" s="41">
        <v>0</v>
      </c>
      <c r="D39" s="41">
        <v>0</v>
      </c>
      <c r="E39" s="41">
        <v>0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7076.667</v>
      </c>
      <c r="Q39" s="41">
        <v>0</v>
      </c>
      <c r="R39" s="41">
        <v>0</v>
      </c>
      <c r="S39" s="41">
        <v>0</v>
      </c>
      <c r="T39" s="41">
        <v>0</v>
      </c>
      <c r="U39" s="41">
        <v>0</v>
      </c>
      <c r="V39" s="41">
        <v>0</v>
      </c>
      <c r="W39" s="41">
        <v>0</v>
      </c>
      <c r="X39" s="41">
        <v>0</v>
      </c>
      <c r="Y39" s="41">
        <v>0</v>
      </c>
      <c r="Z39" s="41">
        <v>0</v>
      </c>
      <c r="AA39" s="41">
        <v>0</v>
      </c>
      <c r="AB39" s="41">
        <v>0</v>
      </c>
      <c r="AC39" s="41">
        <v>0</v>
      </c>
      <c r="AD39" s="41">
        <v>0</v>
      </c>
      <c r="AE39" s="41">
        <v>0</v>
      </c>
      <c r="AF39" s="41">
        <v>0</v>
      </c>
      <c r="AG39" s="41">
        <v>0</v>
      </c>
      <c r="AH39" s="41">
        <v>0</v>
      </c>
      <c r="AI39" s="41">
        <v>0</v>
      </c>
      <c r="AJ39" s="41">
        <v>0</v>
      </c>
      <c r="AK39" s="41">
        <v>0</v>
      </c>
      <c r="AL39" s="41">
        <v>0</v>
      </c>
      <c r="AM39" s="41">
        <v>0</v>
      </c>
      <c r="AN39" s="41">
        <v>0</v>
      </c>
      <c r="AO39" s="41">
        <v>0</v>
      </c>
      <c r="AP39" s="41">
        <v>0</v>
      </c>
      <c r="AQ39" s="41">
        <v>0</v>
      </c>
      <c r="AR39" s="41">
        <v>0</v>
      </c>
      <c r="AS39" s="41">
        <v>0</v>
      </c>
      <c r="AT39" s="41">
        <v>0</v>
      </c>
      <c r="AU39" s="41">
        <v>0</v>
      </c>
      <c r="AV39" s="41">
        <v>0</v>
      </c>
      <c r="AW39" s="41">
        <v>0</v>
      </c>
      <c r="AX39" s="41">
        <v>0</v>
      </c>
      <c r="AY39" s="41">
        <v>0</v>
      </c>
      <c r="AZ39" s="41">
        <v>0</v>
      </c>
      <c r="BA39" s="41">
        <v>0</v>
      </c>
      <c r="BB39" s="41">
        <v>0</v>
      </c>
      <c r="BC39" s="41">
        <v>0</v>
      </c>
      <c r="BD39" s="41">
        <v>0</v>
      </c>
      <c r="BE39" s="41">
        <v>0</v>
      </c>
      <c r="BF39" s="41">
        <v>0</v>
      </c>
      <c r="BG39" s="41">
        <v>0</v>
      </c>
      <c r="BH39" s="41">
        <v>0</v>
      </c>
      <c r="BI39" s="41">
        <v>0</v>
      </c>
      <c r="BK39" s="41">
        <f>SUM(B39:BJ39)</f>
        <v>7076.667</v>
      </c>
      <c r="BL39" s="41"/>
      <c r="BM39" s="41">
        <f>C39+V39+AD39+AH39+AN39+AP39+AS39+AU39+AW39+AZ39+BB39+BD39+BE39+BG39</f>
        <v>0</v>
      </c>
      <c r="BN39" s="41">
        <f>B39+D39+E39+F39+G39+H39+I39+J39+K39+L39+M39+N39+O39+P39+Q39+R39+S39+T39+U39+W39+X39+Y39+Z39+AA39+AB39+AC39+AE39+AF39+AG39+AI39+AJ39+AK39+AM39+AL39+AO39+AQ39+AT39+AV39+AX39+AY39+BA39+BC39+BH39+BI39+AR39+BF39</f>
        <v>7076.667</v>
      </c>
      <c r="BO39" s="41"/>
    </row>
    <row r="40" spans="1:66" ht="5.25" customHeight="1">
      <c r="A40" s="64"/>
      <c r="BK40" s="41"/>
      <c r="BL40" s="41"/>
      <c r="BM40" s="41"/>
      <c r="BN40" s="41"/>
    </row>
    <row r="41" spans="1:67" ht="15.75" customHeight="1">
      <c r="A41" s="67" t="s">
        <v>355</v>
      </c>
      <c r="B41" s="41">
        <f>B7+B25+B31+B37+B39</f>
        <v>76658047.472</v>
      </c>
      <c r="C41" s="41">
        <f>C7+C25+C31+C37+C39</f>
        <v>61317018.313999996</v>
      </c>
      <c r="D41" s="41">
        <f aca="true" t="shared" si="15" ref="D41:AQ41">D7+D25+D31+D37+D39</f>
        <v>46338131.832</v>
      </c>
      <c r="E41" s="41">
        <f>E7+E25+E31+E37+E39</f>
        <v>39575584.23799999</v>
      </c>
      <c r="F41" s="41">
        <f t="shared" si="15"/>
        <v>38967903.96300001</v>
      </c>
      <c r="G41" s="41">
        <f t="shared" si="15"/>
        <v>18759203.876999997</v>
      </c>
      <c r="H41" s="41">
        <f t="shared" si="15"/>
        <v>17707325.145</v>
      </c>
      <c r="I41" s="41">
        <f t="shared" si="15"/>
        <v>17183477.612</v>
      </c>
      <c r="J41" s="41">
        <f t="shared" si="15"/>
        <v>14586564.935</v>
      </c>
      <c r="K41" s="41">
        <f t="shared" si="15"/>
        <v>14690531.024</v>
      </c>
      <c r="L41" s="41">
        <f t="shared" si="15"/>
        <v>13471156.967999998</v>
      </c>
      <c r="M41" s="41">
        <f>M7+M25+M31+M37+M39</f>
        <v>12306473.338</v>
      </c>
      <c r="N41" s="41">
        <f t="shared" si="15"/>
        <v>11396867.081999999</v>
      </c>
      <c r="O41" s="41">
        <f t="shared" si="15"/>
        <v>11388315.025</v>
      </c>
      <c r="P41" s="41">
        <f>P7+P25+P31+P37+P39</f>
        <v>10352635.792</v>
      </c>
      <c r="Q41" s="41">
        <f t="shared" si="15"/>
        <v>9712070.500000002</v>
      </c>
      <c r="R41" s="41">
        <f t="shared" si="15"/>
        <v>9456775.386000004</v>
      </c>
      <c r="S41" s="41">
        <f>S7+S25+S31+S37+S39</f>
        <v>7466280.196</v>
      </c>
      <c r="T41" s="41">
        <f t="shared" si="15"/>
        <v>6901854.473999999</v>
      </c>
      <c r="U41" s="41">
        <f>U7+U25+U31+U37+U39</f>
        <v>6618608.3610000005</v>
      </c>
      <c r="V41" s="41">
        <f>V7+V25+V31+V37+V39</f>
        <v>6326788.779</v>
      </c>
      <c r="W41" s="41">
        <f>W7+W25+W31+W37+W39</f>
        <v>6193614.640000001</v>
      </c>
      <c r="X41" s="41">
        <f t="shared" si="15"/>
        <v>5992910.351</v>
      </c>
      <c r="Y41" s="41">
        <f>Y7+Y25+Y31+Y37+Y39</f>
        <v>5470253</v>
      </c>
      <c r="Z41" s="41">
        <f t="shared" si="15"/>
        <v>5096264.689</v>
      </c>
      <c r="AA41" s="41">
        <f t="shared" si="15"/>
        <v>4937143.194</v>
      </c>
      <c r="AB41" s="41">
        <f>AB7+AB25+AB31+AB37+AB39</f>
        <v>3482771.8710000003</v>
      </c>
      <c r="AC41" s="41">
        <f>AC7+AC25+AC31+AC37+AC39</f>
        <v>3029999.7369999997</v>
      </c>
      <c r="AD41" s="41">
        <f t="shared" si="15"/>
        <v>3050516.321</v>
      </c>
      <c r="AE41" s="41">
        <f>AE7+AE25+AE31+AE37+AE39</f>
        <v>2890350.9189999998</v>
      </c>
      <c r="AF41" s="41">
        <f t="shared" si="15"/>
        <v>2844893.691</v>
      </c>
      <c r="AG41" s="41">
        <f t="shared" si="15"/>
        <v>2736516.1180000002</v>
      </c>
      <c r="AH41" s="41">
        <f t="shared" si="15"/>
        <v>2533834.194</v>
      </c>
      <c r="AI41" s="41">
        <f>AI7+AI25+AI31+AI37+AI39</f>
        <v>1969065.5210000002</v>
      </c>
      <c r="AJ41" s="41">
        <f t="shared" si="15"/>
        <v>1943546.671</v>
      </c>
      <c r="AK41" s="41">
        <f t="shared" si="15"/>
        <v>1646109.3359999997</v>
      </c>
      <c r="AL41" s="41">
        <f>AL7+AL25+AL31+AL37+AL39</f>
        <v>1536501.3780000003</v>
      </c>
      <c r="AM41" s="41">
        <f>AM7+AM25+AM31+AM37+AM39</f>
        <v>1650594.178</v>
      </c>
      <c r="AN41" s="41">
        <f t="shared" si="15"/>
        <v>1288151.7</v>
      </c>
      <c r="AO41" s="41">
        <f t="shared" si="15"/>
        <v>1161341.6550000003</v>
      </c>
      <c r="AP41" s="41">
        <f t="shared" si="15"/>
        <v>1153227.563</v>
      </c>
      <c r="AQ41" s="41">
        <f t="shared" si="15"/>
        <v>1083169.865</v>
      </c>
      <c r="AR41" s="41">
        <f>AR7+AR25+AR31+AR37+AR39</f>
        <v>1053801.112</v>
      </c>
      <c r="AS41" s="41">
        <f aca="true" t="shared" si="16" ref="AS41:BI41">AS7+AS25+AS31+AS37+AS39</f>
        <v>989697.9640000002</v>
      </c>
      <c r="AT41" s="41">
        <f>AT7+AT25+AT31+AT37+AT39</f>
        <v>963234.3500000001</v>
      </c>
      <c r="AU41" s="41">
        <f t="shared" si="16"/>
        <v>715018.9979999999</v>
      </c>
      <c r="AV41" s="41">
        <f t="shared" si="16"/>
        <v>665400.6160000002</v>
      </c>
      <c r="AW41" s="41">
        <f>AW7+AW25+AW31+AW37+AW39</f>
        <v>578141.65</v>
      </c>
      <c r="AX41" s="41">
        <f t="shared" si="16"/>
        <v>574450.7710000001</v>
      </c>
      <c r="AY41" s="41">
        <f t="shared" si="16"/>
        <v>461300.282</v>
      </c>
      <c r="AZ41" s="41">
        <f>AZ7+AZ25+AZ31+AZ37+AZ39</f>
        <v>450997.766</v>
      </c>
      <c r="BA41" s="41">
        <f t="shared" si="16"/>
        <v>404826.633</v>
      </c>
      <c r="BB41" s="41">
        <f t="shared" si="16"/>
        <v>272051.13999999996</v>
      </c>
      <c r="BC41" s="41">
        <f t="shared" si="16"/>
        <v>165834.607</v>
      </c>
      <c r="BD41" s="41">
        <f t="shared" si="16"/>
        <v>169348.748</v>
      </c>
      <c r="BE41" s="41">
        <f>BE7+BE25+BE31+BE37+BE39</f>
        <v>134620.588</v>
      </c>
      <c r="BF41" s="41">
        <f>BF7+BF25+BF31+BF37+BF39</f>
        <v>106690.07800000001</v>
      </c>
      <c r="BG41" s="41">
        <f t="shared" si="16"/>
        <v>88750.403</v>
      </c>
      <c r="BH41" s="41">
        <f t="shared" si="16"/>
        <v>39726.456</v>
      </c>
      <c r="BI41" s="41">
        <f t="shared" si="16"/>
        <v>10403.248</v>
      </c>
      <c r="BK41" s="41">
        <f>SUM(B41:BJ41)</f>
        <v>520716686.3149999</v>
      </c>
      <c r="BL41" s="41"/>
      <c r="BM41" s="41">
        <f>C41+V41+AD41+AH41+AN41+AP41+AS41+AU41+AW41+AZ41+BB41+BD41+BE41+BG41</f>
        <v>79068164.12799999</v>
      </c>
      <c r="BN41" s="41">
        <f>B41+D41+E41+F41+G41+H41+I41+J41+K41+L41+M41+N41+O41+P41+Q41+R41+S41+T41+U41+W41+X41+Y41+Z41+AA41+AB41+AC41+AE41+AF41+AG41+AI41+AJ41+AK41+AM41+AL41+AO41+AQ41+AT41+AV41+AX41+AY41+BA41+BC41+BH41+BI41+AR41+BF41</f>
        <v>441648522.187</v>
      </c>
      <c r="BO41" s="41"/>
    </row>
    <row r="42" spans="1:66" ht="5.25" customHeight="1">
      <c r="A42" s="62"/>
      <c r="BK42" s="41"/>
      <c r="BL42" s="41"/>
      <c r="BM42" s="41"/>
      <c r="BN42" s="41"/>
    </row>
    <row r="43" spans="1:66" ht="12.75">
      <c r="A43" s="65" t="s">
        <v>327</v>
      </c>
      <c r="BK43" s="41"/>
      <c r="BL43" s="41"/>
      <c r="BM43" s="41"/>
      <c r="BN43" s="41"/>
    </row>
    <row r="44" spans="1:66" ht="5.25" customHeight="1">
      <c r="A44" s="62"/>
      <c r="BK44" s="41"/>
      <c r="BL44" s="41"/>
      <c r="BM44" s="41"/>
      <c r="BN44" s="41"/>
    </row>
    <row r="45" spans="1:67" ht="12.75">
      <c r="A45" s="57" t="s">
        <v>402</v>
      </c>
      <c r="B45" s="41">
        <v>0</v>
      </c>
      <c r="C45" s="41">
        <v>7162.678</v>
      </c>
      <c r="D45" s="41">
        <v>0</v>
      </c>
      <c r="E45" s="41">
        <v>0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41">
        <v>0</v>
      </c>
      <c r="Q45" s="41">
        <v>0</v>
      </c>
      <c r="R45" s="41">
        <v>0</v>
      </c>
      <c r="S45" s="41">
        <v>0</v>
      </c>
      <c r="T45" s="41">
        <v>0</v>
      </c>
      <c r="U45" s="41">
        <v>0</v>
      </c>
      <c r="V45" s="41">
        <v>676.33</v>
      </c>
      <c r="W45" s="41">
        <v>0</v>
      </c>
      <c r="X45" s="41">
        <v>0</v>
      </c>
      <c r="Y45" s="41">
        <v>0</v>
      </c>
      <c r="Z45" s="41">
        <v>0</v>
      </c>
      <c r="AA45" s="41">
        <v>0</v>
      </c>
      <c r="AB45" s="41">
        <v>0</v>
      </c>
      <c r="AC45" s="41">
        <v>0</v>
      </c>
      <c r="AD45" s="41">
        <v>0</v>
      </c>
      <c r="AE45" s="41">
        <v>0</v>
      </c>
      <c r="AF45" s="41">
        <v>0</v>
      </c>
      <c r="AG45" s="41">
        <v>0</v>
      </c>
      <c r="AH45" s="41">
        <v>0</v>
      </c>
      <c r="AI45" s="41">
        <v>0</v>
      </c>
      <c r="AJ45" s="41">
        <v>0</v>
      </c>
      <c r="AK45" s="41">
        <v>0</v>
      </c>
      <c r="AL45" s="41">
        <v>0</v>
      </c>
      <c r="AM45" s="41">
        <v>55997.485</v>
      </c>
      <c r="AN45" s="41">
        <v>0</v>
      </c>
      <c r="AO45" s="41">
        <v>0</v>
      </c>
      <c r="AP45" s="41">
        <v>0</v>
      </c>
      <c r="AQ45" s="41">
        <v>0</v>
      </c>
      <c r="AR45" s="41">
        <v>0</v>
      </c>
      <c r="AS45" s="41">
        <v>0</v>
      </c>
      <c r="AT45" s="41">
        <v>0</v>
      </c>
      <c r="AU45" s="41">
        <v>0</v>
      </c>
      <c r="AV45" s="41">
        <v>0</v>
      </c>
      <c r="AW45" s="41">
        <v>0</v>
      </c>
      <c r="AX45" s="41">
        <v>0</v>
      </c>
      <c r="AY45" s="41">
        <v>0</v>
      </c>
      <c r="AZ45" s="41">
        <v>0</v>
      </c>
      <c r="BA45" s="41">
        <v>0</v>
      </c>
      <c r="BB45" s="41">
        <v>0</v>
      </c>
      <c r="BC45" s="41">
        <v>0</v>
      </c>
      <c r="BD45" s="41">
        <v>0</v>
      </c>
      <c r="BE45" s="41">
        <v>0</v>
      </c>
      <c r="BF45" s="41">
        <v>0</v>
      </c>
      <c r="BG45" s="41">
        <v>0</v>
      </c>
      <c r="BH45" s="41">
        <v>0</v>
      </c>
      <c r="BI45" s="41">
        <v>0</v>
      </c>
      <c r="BK45" s="41">
        <f>SUM(B45:BJ45)</f>
        <v>63836.493</v>
      </c>
      <c r="BL45" s="41"/>
      <c r="BM45" s="41">
        <f>C45+V45+AD45+AH45+AN45+AP45+AS45+AU45+AW45+AZ45+BB45+BD45+BE45+BG45</f>
        <v>7839.008</v>
      </c>
      <c r="BN45" s="41">
        <f>B45+D45+E45+F45+G45+H45+I45+J45+K45+L45+M45+N45+O45+P45+Q45+R45+S45+T45+U45+W45+X45+Y45+Z45+AA45+AB45+AC45+AE45+AF45+AG45+AI45+AJ45+AK45+AM45+AL45+AO45+AQ45+AT45+AV45+AX45+AY45+BA45+BC45+BH45+BI45+AR45+BF45</f>
        <v>55997.485</v>
      </c>
      <c r="BO45" s="41"/>
    </row>
    <row r="46" spans="1:66" ht="6" customHeight="1">
      <c r="A46" s="62"/>
      <c r="BK46" s="41"/>
      <c r="BL46" s="41"/>
      <c r="BM46" s="41"/>
      <c r="BN46" s="41"/>
    </row>
    <row r="47" spans="1:66" ht="12.75">
      <c r="A47" s="62" t="s">
        <v>403</v>
      </c>
      <c r="BK47" s="41"/>
      <c r="BL47" s="41"/>
      <c r="BM47" s="41"/>
      <c r="BN47" s="41"/>
    </row>
    <row r="48" spans="1:67" ht="12.75">
      <c r="A48" s="64" t="s">
        <v>465</v>
      </c>
      <c r="B48" s="47">
        <v>0</v>
      </c>
      <c r="C48" s="47">
        <v>0</v>
      </c>
      <c r="D48" s="47">
        <v>0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  <c r="O48" s="47">
        <v>0</v>
      </c>
      <c r="P48" s="47">
        <v>0</v>
      </c>
      <c r="Q48" s="47">
        <v>0</v>
      </c>
      <c r="R48" s="47">
        <v>0</v>
      </c>
      <c r="S48" s="47">
        <v>0</v>
      </c>
      <c r="T48" s="47">
        <v>0</v>
      </c>
      <c r="U48" s="47">
        <v>0</v>
      </c>
      <c r="V48" s="47">
        <v>0</v>
      </c>
      <c r="W48" s="47">
        <v>0</v>
      </c>
      <c r="X48" s="47">
        <v>0</v>
      </c>
      <c r="Y48" s="47">
        <v>0</v>
      </c>
      <c r="Z48" s="47">
        <v>0</v>
      </c>
      <c r="AA48" s="47">
        <v>0</v>
      </c>
      <c r="AB48" s="47">
        <v>0</v>
      </c>
      <c r="AC48" s="47">
        <v>0</v>
      </c>
      <c r="AD48" s="47">
        <v>0</v>
      </c>
      <c r="AE48" s="47">
        <v>0</v>
      </c>
      <c r="AF48" s="47">
        <v>0</v>
      </c>
      <c r="AG48" s="47">
        <v>0</v>
      </c>
      <c r="AH48" s="47">
        <v>0</v>
      </c>
      <c r="AI48" s="47">
        <v>0</v>
      </c>
      <c r="AJ48" s="47">
        <v>0</v>
      </c>
      <c r="AK48" s="47">
        <v>0</v>
      </c>
      <c r="AL48" s="47">
        <v>0</v>
      </c>
      <c r="AM48" s="47">
        <v>0</v>
      </c>
      <c r="AN48" s="47">
        <v>0</v>
      </c>
      <c r="AO48" s="47">
        <v>0</v>
      </c>
      <c r="AP48" s="47">
        <v>0</v>
      </c>
      <c r="AQ48" s="47">
        <v>0</v>
      </c>
      <c r="AR48" s="47">
        <v>0</v>
      </c>
      <c r="AS48" s="47">
        <v>0</v>
      </c>
      <c r="AT48" s="47">
        <v>0</v>
      </c>
      <c r="AU48" s="47">
        <v>0</v>
      </c>
      <c r="AV48" s="47">
        <v>0</v>
      </c>
      <c r="AW48" s="47">
        <v>0</v>
      </c>
      <c r="AX48" s="47">
        <v>0</v>
      </c>
      <c r="AY48" s="47">
        <v>0</v>
      </c>
      <c r="AZ48" s="47">
        <v>0</v>
      </c>
      <c r="BA48" s="47">
        <v>0</v>
      </c>
      <c r="BB48" s="47">
        <v>0</v>
      </c>
      <c r="BC48" s="47">
        <v>0</v>
      </c>
      <c r="BD48" s="47">
        <v>0</v>
      </c>
      <c r="BE48" s="47">
        <v>0</v>
      </c>
      <c r="BF48" s="47">
        <v>0</v>
      </c>
      <c r="BG48" s="47">
        <v>0</v>
      </c>
      <c r="BH48" s="47">
        <v>0</v>
      </c>
      <c r="BI48" s="47">
        <v>0</v>
      </c>
      <c r="BK48" s="41">
        <f>SUM(B48:BJ48)</f>
        <v>0</v>
      </c>
      <c r="BL48" s="41"/>
      <c r="BM48" s="41">
        <f>C48+V48+AD48+AH48+AN48+AP48+AS48+AU48+AW48+AZ48+BB48+BD48+BE48+BG48</f>
        <v>0</v>
      </c>
      <c r="BN48" s="41">
        <f>B48+D48+E48+F48+G48+H48+I48+J48+K48+L48+M48+N48+O48+P48+Q48+R48+S48+T48+U48+W48+X48+Y48+Z48+AA48+AB48+AC48+AE48+AF48+AG48+AI48+AJ48+AK48+AM48+AL48+AO48+AQ48+AT48+AV48+AX48+AY48+BA48+BC48+BH48+BI48+AR48+BF48</f>
        <v>0</v>
      </c>
      <c r="BO48" s="47"/>
    </row>
    <row r="49" spans="1:67" ht="12.75">
      <c r="A49" s="64" t="s">
        <v>404</v>
      </c>
      <c r="B49" s="47">
        <v>0</v>
      </c>
      <c r="C49" s="47">
        <v>0</v>
      </c>
      <c r="D49" s="47">
        <v>582354.746</v>
      </c>
      <c r="E49" s="47">
        <v>0</v>
      </c>
      <c r="F49" s="47">
        <v>0</v>
      </c>
      <c r="G49" s="47">
        <v>379.371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3283.043</v>
      </c>
      <c r="N49" s="47">
        <v>0</v>
      </c>
      <c r="O49" s="47">
        <v>0</v>
      </c>
      <c r="P49" s="47">
        <v>0</v>
      </c>
      <c r="Q49" s="47">
        <v>0</v>
      </c>
      <c r="R49" s="47">
        <v>0</v>
      </c>
      <c r="S49" s="47">
        <v>0</v>
      </c>
      <c r="T49" s="47">
        <v>0</v>
      </c>
      <c r="U49" s="47">
        <v>0</v>
      </c>
      <c r="V49" s="47">
        <v>0</v>
      </c>
      <c r="W49" s="47">
        <v>32305.339</v>
      </c>
      <c r="X49" s="47">
        <v>0</v>
      </c>
      <c r="Y49" s="47">
        <v>0</v>
      </c>
      <c r="Z49" s="47">
        <v>0</v>
      </c>
      <c r="AA49" s="47">
        <v>0</v>
      </c>
      <c r="AB49" s="47">
        <v>138322.22</v>
      </c>
      <c r="AC49" s="47">
        <v>0</v>
      </c>
      <c r="AD49" s="47">
        <v>0</v>
      </c>
      <c r="AE49" s="47">
        <v>15241.027</v>
      </c>
      <c r="AF49" s="47">
        <v>0</v>
      </c>
      <c r="AG49" s="47">
        <v>0</v>
      </c>
      <c r="AH49" s="47">
        <v>0</v>
      </c>
      <c r="AI49" s="47">
        <v>0</v>
      </c>
      <c r="AJ49" s="47">
        <v>0</v>
      </c>
      <c r="AK49" s="47">
        <v>0</v>
      </c>
      <c r="AL49" s="47">
        <v>0</v>
      </c>
      <c r="AM49" s="47">
        <v>0</v>
      </c>
      <c r="AN49" s="47">
        <v>0</v>
      </c>
      <c r="AO49" s="47">
        <v>0</v>
      </c>
      <c r="AP49" s="47">
        <v>0</v>
      </c>
      <c r="AQ49" s="47">
        <v>0</v>
      </c>
      <c r="AR49" s="47">
        <v>5535.875</v>
      </c>
      <c r="AS49" s="47">
        <v>0</v>
      </c>
      <c r="AT49" s="47">
        <v>0</v>
      </c>
      <c r="AU49" s="47">
        <v>0</v>
      </c>
      <c r="AV49" s="47">
        <v>0</v>
      </c>
      <c r="AW49" s="47">
        <v>0</v>
      </c>
      <c r="AX49" s="47">
        <v>538.744</v>
      </c>
      <c r="AY49" s="47">
        <v>0</v>
      </c>
      <c r="AZ49" s="47">
        <v>0</v>
      </c>
      <c r="BA49" s="47">
        <v>0</v>
      </c>
      <c r="BB49" s="47">
        <v>0</v>
      </c>
      <c r="BC49" s="47">
        <v>0</v>
      </c>
      <c r="BD49" s="47">
        <v>0</v>
      </c>
      <c r="BE49" s="47">
        <v>0</v>
      </c>
      <c r="BF49" s="47">
        <v>0</v>
      </c>
      <c r="BG49" s="47">
        <v>0</v>
      </c>
      <c r="BH49" s="47">
        <v>0</v>
      </c>
      <c r="BI49" s="47">
        <v>0</v>
      </c>
      <c r="BK49" s="41">
        <f>SUM(B49:BJ49)</f>
        <v>777960.365</v>
      </c>
      <c r="BL49" s="41"/>
      <c r="BM49" s="41">
        <f>C49+V49+AD49+AH49+AN49+AP49+AS49+AU49+AW49+AZ49+BB49+BD49+BE49+BG49</f>
        <v>0</v>
      </c>
      <c r="BN49" s="41">
        <f>B49+D49+E49+F49+G49+H49+I49+J49+K49+L49+M49+N49+O49+P49+Q49+R49+S49+T49+U49+W49+X49+Y49+Z49+AA49+AB49+AC49+AE49+AF49+AG49+AI49+AJ49+AK49+AM49+AL49+AO49+AQ49+AT49+AV49+AX49+AY49+BA49+BC49+BH49+BI49+AR49+BF49</f>
        <v>777960.365</v>
      </c>
      <c r="BO49" s="47"/>
    </row>
    <row r="50" spans="1:67" ht="12.75">
      <c r="A50" s="57" t="s">
        <v>405</v>
      </c>
      <c r="B50" s="47">
        <v>0</v>
      </c>
      <c r="C50" s="47">
        <v>55369.526</v>
      </c>
      <c r="D50" s="47">
        <v>0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v>0</v>
      </c>
      <c r="O50" s="47">
        <v>0</v>
      </c>
      <c r="P50" s="47">
        <v>0</v>
      </c>
      <c r="Q50" s="47">
        <v>0</v>
      </c>
      <c r="R50" s="47">
        <v>0</v>
      </c>
      <c r="S50" s="47">
        <v>0</v>
      </c>
      <c r="T50" s="47">
        <v>0</v>
      </c>
      <c r="U50" s="47">
        <v>0</v>
      </c>
      <c r="V50" s="47">
        <v>6152.17</v>
      </c>
      <c r="W50" s="47">
        <v>0</v>
      </c>
      <c r="X50" s="47">
        <v>0</v>
      </c>
      <c r="Y50" s="47">
        <v>0</v>
      </c>
      <c r="Z50" s="47">
        <v>0</v>
      </c>
      <c r="AA50" s="47">
        <v>0</v>
      </c>
      <c r="AB50" s="47">
        <v>0</v>
      </c>
      <c r="AC50" s="47">
        <v>0</v>
      </c>
      <c r="AD50" s="47">
        <v>0</v>
      </c>
      <c r="AE50" s="47">
        <v>0</v>
      </c>
      <c r="AF50" s="47">
        <v>0</v>
      </c>
      <c r="AG50" s="47">
        <v>0</v>
      </c>
      <c r="AH50" s="47">
        <v>0</v>
      </c>
      <c r="AI50" s="47">
        <v>0</v>
      </c>
      <c r="AJ50" s="47">
        <v>0</v>
      </c>
      <c r="AK50" s="47">
        <v>0</v>
      </c>
      <c r="AL50" s="47">
        <v>0</v>
      </c>
      <c r="AM50" s="47">
        <v>0</v>
      </c>
      <c r="AN50" s="47">
        <v>0</v>
      </c>
      <c r="AO50" s="47">
        <v>0</v>
      </c>
      <c r="AP50" s="47">
        <v>0</v>
      </c>
      <c r="AQ50" s="47">
        <v>0</v>
      </c>
      <c r="AR50" s="47">
        <v>0</v>
      </c>
      <c r="AS50" s="47">
        <v>0</v>
      </c>
      <c r="AT50" s="47">
        <v>0</v>
      </c>
      <c r="AU50" s="47">
        <v>0</v>
      </c>
      <c r="AV50" s="47">
        <v>0</v>
      </c>
      <c r="AW50" s="47">
        <v>0</v>
      </c>
      <c r="AX50" s="47">
        <v>0</v>
      </c>
      <c r="AY50" s="47">
        <v>0</v>
      </c>
      <c r="AZ50" s="47">
        <v>0</v>
      </c>
      <c r="BA50" s="47">
        <v>0</v>
      </c>
      <c r="BB50" s="47">
        <v>0</v>
      </c>
      <c r="BC50" s="47">
        <v>0</v>
      </c>
      <c r="BD50" s="47">
        <v>0</v>
      </c>
      <c r="BE50" s="47">
        <v>0</v>
      </c>
      <c r="BF50" s="47">
        <v>0</v>
      </c>
      <c r="BG50" s="47">
        <v>0</v>
      </c>
      <c r="BH50" s="47">
        <v>0</v>
      </c>
      <c r="BI50" s="47">
        <v>0</v>
      </c>
      <c r="BK50" s="41">
        <f>SUM(B50:BJ50)</f>
        <v>61521.695999999996</v>
      </c>
      <c r="BL50" s="41"/>
      <c r="BM50" s="41">
        <f>C50+V50+AD50+AH50+AN50+AP50+AS50+AU50+AW50+AZ50+BB50+BD50+BE50+BG50</f>
        <v>61521.695999999996</v>
      </c>
      <c r="BN50" s="41">
        <f>B50+D50+E50+F50+G50+H50+I50+J50+K50+L50+M50+N50+O50+P50+Q50+R50+S50+T50+U50+W50+X50+Y50+Z50+AA50+AB50+AC50+AE50+AF50+AG50+AI50+AJ50+AK50+AM50+AL50+AO50+AQ50+AT50+AV50+AX50+AY50+BA50+BC50+BH50+BI50+AR50+BF50</f>
        <v>0</v>
      </c>
      <c r="BO50" s="47"/>
    </row>
    <row r="51" spans="1:67" ht="12.75">
      <c r="A51" s="64" t="s">
        <v>406</v>
      </c>
      <c r="B51" s="47">
        <v>1033591.439</v>
      </c>
      <c r="C51" s="47">
        <v>148642.429</v>
      </c>
      <c r="D51" s="47">
        <v>177113.75</v>
      </c>
      <c r="E51" s="47">
        <v>21151.976</v>
      </c>
      <c r="F51" s="47">
        <v>10803.264</v>
      </c>
      <c r="G51" s="47">
        <v>25772.706</v>
      </c>
      <c r="H51" s="47">
        <v>23.912</v>
      </c>
      <c r="I51" s="47">
        <v>30550.146</v>
      </c>
      <c r="J51" s="47">
        <v>17709.978</v>
      </c>
      <c r="K51" s="47">
        <v>146563.317</v>
      </c>
      <c r="L51" s="47">
        <v>2171.613</v>
      </c>
      <c r="M51" s="47">
        <v>144705.286</v>
      </c>
      <c r="N51" s="47">
        <v>6680.138</v>
      </c>
      <c r="O51" s="47">
        <v>9767.324</v>
      </c>
      <c r="P51" s="47">
        <f>42682.679+1863.718</f>
        <v>44546.397</v>
      </c>
      <c r="Q51" s="47">
        <v>16003.489</v>
      </c>
      <c r="R51" s="47">
        <v>2067.635</v>
      </c>
      <c r="S51" s="47">
        <v>2138.651</v>
      </c>
      <c r="T51" s="47">
        <v>1747.423</v>
      </c>
      <c r="U51" s="47">
        <v>981.445</v>
      </c>
      <c r="V51" s="47">
        <v>177.223</v>
      </c>
      <c r="W51" s="47">
        <v>7339.873</v>
      </c>
      <c r="X51" s="47">
        <v>13996.622</v>
      </c>
      <c r="Y51" s="47">
        <v>29896</v>
      </c>
      <c r="Z51" s="47">
        <v>164.64</v>
      </c>
      <c r="AA51" s="47">
        <v>1490.888</v>
      </c>
      <c r="AB51" s="47">
        <v>21899.141</v>
      </c>
      <c r="AC51" s="47">
        <v>201.626</v>
      </c>
      <c r="AD51" s="47">
        <v>45637.615</v>
      </c>
      <c r="AE51" s="47">
        <f>1384.045</f>
        <v>1384.045</v>
      </c>
      <c r="AF51" s="47">
        <v>1336.114</v>
      </c>
      <c r="AG51" s="47">
        <v>1585.48</v>
      </c>
      <c r="AH51" s="47">
        <v>0</v>
      </c>
      <c r="AI51" s="47">
        <v>0</v>
      </c>
      <c r="AJ51" s="47">
        <v>1801.385</v>
      </c>
      <c r="AK51" s="47">
        <v>202.297</v>
      </c>
      <c r="AL51" s="47">
        <v>75.402</v>
      </c>
      <c r="AM51" s="47">
        <f>525.466+86069.022</f>
        <v>86594.488</v>
      </c>
      <c r="AN51" s="47">
        <f>1580.778+31692.758</f>
        <v>33273.536</v>
      </c>
      <c r="AO51" s="47">
        <v>2756.305</v>
      </c>
      <c r="AP51" s="47">
        <f>5352.624+3524.307</f>
        <v>8876.931</v>
      </c>
      <c r="AQ51" s="47">
        <v>11401.579</v>
      </c>
      <c r="AR51" s="47">
        <v>14449.682</v>
      </c>
      <c r="AS51" s="47">
        <v>3628.264</v>
      </c>
      <c r="AT51" s="47">
        <v>3189.964</v>
      </c>
      <c r="AU51" s="47">
        <v>2081.977</v>
      </c>
      <c r="AV51" s="47">
        <v>1538.189</v>
      </c>
      <c r="AW51" s="47">
        <f>2263.721+35.303</f>
        <v>2299.024</v>
      </c>
      <c r="AX51" s="47">
        <v>713.693</v>
      </c>
      <c r="AY51" s="47">
        <v>403.956</v>
      </c>
      <c r="AZ51" s="47">
        <v>2857.138</v>
      </c>
      <c r="BA51" s="47">
        <v>0</v>
      </c>
      <c r="BB51" s="47">
        <v>725.36</v>
      </c>
      <c r="BC51" s="47">
        <v>792</v>
      </c>
      <c r="BD51" s="47">
        <v>5958.762</v>
      </c>
      <c r="BE51" s="47">
        <v>95.672</v>
      </c>
      <c r="BF51" s="47">
        <v>158</v>
      </c>
      <c r="BG51" s="47">
        <v>0</v>
      </c>
      <c r="BH51" s="47">
        <v>5566.863</v>
      </c>
      <c r="BI51" s="47">
        <v>189.715</v>
      </c>
      <c r="BK51" s="41">
        <f>SUM(B51:BJ51)</f>
        <v>2157471.7669999986</v>
      </c>
      <c r="BL51" s="41"/>
      <c r="BM51" s="41">
        <f>C51+V51+AD51+AH51+AN51+AP51+AS51+AU51+AW51+AZ51+BB51+BD51+BE51+BG51</f>
        <v>254253.93099999998</v>
      </c>
      <c r="BN51" s="41">
        <f>B51+D51+E51+F51+G51+H51+I51+J51+K51+L51+M51+N51+O51+P51+Q51+R51+S51+T51+U51+W51+X51+Y51+Z51+AA51+AB51+AC51+AE51+AF51+AG51+AI51+AJ51+AK51+AM51+AL51+AO51+AQ51+AT51+AV51+AX51+AY51+BA51+BC51+BH51+BI51+AR51+BF51</f>
        <v>1903217.8359999994</v>
      </c>
      <c r="BO51" s="47"/>
    </row>
    <row r="52" spans="1:67" ht="12.75">
      <c r="A52" s="61" t="s">
        <v>331</v>
      </c>
      <c r="B52" s="41">
        <f>SUM(B48:B51)</f>
        <v>1033591.439</v>
      </c>
      <c r="C52" s="41">
        <f>SUM(C48:C51)</f>
        <v>204011.95500000002</v>
      </c>
      <c r="D52" s="41">
        <f aca="true" t="shared" si="17" ref="D52:AQ52">SUM(D48:D51)</f>
        <v>759468.496</v>
      </c>
      <c r="E52" s="41">
        <f>SUM(E48:E51)</f>
        <v>21151.976</v>
      </c>
      <c r="F52" s="41">
        <f t="shared" si="17"/>
        <v>10803.264</v>
      </c>
      <c r="G52" s="41">
        <f t="shared" si="17"/>
        <v>26152.076999999997</v>
      </c>
      <c r="H52" s="41">
        <f>SUM(H49:H51)</f>
        <v>23.912</v>
      </c>
      <c r="I52" s="41">
        <f t="shared" si="17"/>
        <v>30550.146</v>
      </c>
      <c r="J52" s="41">
        <f t="shared" si="17"/>
        <v>17709.978</v>
      </c>
      <c r="K52" s="41">
        <f t="shared" si="17"/>
        <v>146563.317</v>
      </c>
      <c r="L52" s="41">
        <f t="shared" si="17"/>
        <v>2171.613</v>
      </c>
      <c r="M52" s="41">
        <f>SUM(M48:M51)</f>
        <v>147988.329</v>
      </c>
      <c r="N52" s="41">
        <f t="shared" si="17"/>
        <v>6680.138</v>
      </c>
      <c r="O52" s="41">
        <f t="shared" si="17"/>
        <v>9767.324</v>
      </c>
      <c r="P52" s="41">
        <f>SUM(P48:P51)</f>
        <v>44546.397</v>
      </c>
      <c r="Q52" s="41">
        <f t="shared" si="17"/>
        <v>16003.489</v>
      </c>
      <c r="R52" s="41">
        <f t="shared" si="17"/>
        <v>2067.635</v>
      </c>
      <c r="S52" s="41">
        <f>SUM(S48:S51)</f>
        <v>2138.651</v>
      </c>
      <c r="T52" s="41">
        <f t="shared" si="17"/>
        <v>1747.423</v>
      </c>
      <c r="U52" s="41">
        <f>SUM(U48:U51)</f>
        <v>981.445</v>
      </c>
      <c r="V52" s="41">
        <f>SUM(V48:V51)</f>
        <v>6329.393</v>
      </c>
      <c r="W52" s="41">
        <f>SUM(W48:W51)</f>
        <v>39645.212</v>
      </c>
      <c r="X52" s="41">
        <f t="shared" si="17"/>
        <v>13996.622</v>
      </c>
      <c r="Y52" s="41">
        <f>SUM(Y48:Y51)</f>
        <v>29896</v>
      </c>
      <c r="Z52" s="41">
        <f t="shared" si="17"/>
        <v>164.64</v>
      </c>
      <c r="AA52" s="41">
        <f t="shared" si="17"/>
        <v>1490.888</v>
      </c>
      <c r="AB52" s="41">
        <f>SUM(AB48:AB51)</f>
        <v>160221.361</v>
      </c>
      <c r="AC52" s="41">
        <f>SUM(AC48:AC51)</f>
        <v>201.626</v>
      </c>
      <c r="AD52" s="41">
        <f t="shared" si="17"/>
        <v>45637.615</v>
      </c>
      <c r="AE52" s="41">
        <f>SUM(AE48:AE51)</f>
        <v>16625.072</v>
      </c>
      <c r="AF52" s="41">
        <f t="shared" si="17"/>
        <v>1336.114</v>
      </c>
      <c r="AG52" s="41">
        <f t="shared" si="17"/>
        <v>1585.48</v>
      </c>
      <c r="AH52" s="41">
        <f t="shared" si="17"/>
        <v>0</v>
      </c>
      <c r="AI52" s="41">
        <f>SUM(AI48:AI51)</f>
        <v>0</v>
      </c>
      <c r="AJ52" s="41">
        <f t="shared" si="17"/>
        <v>1801.385</v>
      </c>
      <c r="AK52" s="41">
        <f t="shared" si="17"/>
        <v>202.297</v>
      </c>
      <c r="AL52" s="41">
        <f>SUM(AL48:AL51)</f>
        <v>75.402</v>
      </c>
      <c r="AM52" s="41">
        <f>SUM(AM48:AM51)</f>
        <v>86594.488</v>
      </c>
      <c r="AN52" s="41">
        <f t="shared" si="17"/>
        <v>33273.536</v>
      </c>
      <c r="AO52" s="41">
        <f t="shared" si="17"/>
        <v>2756.305</v>
      </c>
      <c r="AP52" s="41">
        <f t="shared" si="17"/>
        <v>8876.931</v>
      </c>
      <c r="AQ52" s="41">
        <f t="shared" si="17"/>
        <v>11401.579</v>
      </c>
      <c r="AR52" s="41">
        <f>SUM(AR48:AR51)</f>
        <v>19985.557</v>
      </c>
      <c r="AS52" s="41">
        <f aca="true" t="shared" si="18" ref="AS52:BI52">SUM(AS48:AS51)</f>
        <v>3628.264</v>
      </c>
      <c r="AT52" s="41">
        <f>SUM(AT48:AT51)</f>
        <v>3189.964</v>
      </c>
      <c r="AU52" s="41">
        <f t="shared" si="18"/>
        <v>2081.977</v>
      </c>
      <c r="AV52" s="41">
        <f t="shared" si="18"/>
        <v>1538.189</v>
      </c>
      <c r="AW52" s="41">
        <f>SUM(AW48:AW51)</f>
        <v>2299.024</v>
      </c>
      <c r="AX52" s="41">
        <f t="shared" si="18"/>
        <v>1252.437</v>
      </c>
      <c r="AY52" s="41">
        <f t="shared" si="18"/>
        <v>403.956</v>
      </c>
      <c r="AZ52" s="41">
        <f>SUM(AZ48:AZ51)</f>
        <v>2857.138</v>
      </c>
      <c r="BA52" s="41">
        <f t="shared" si="18"/>
        <v>0</v>
      </c>
      <c r="BB52" s="41">
        <f t="shared" si="18"/>
        <v>725.36</v>
      </c>
      <c r="BC52" s="41">
        <f t="shared" si="18"/>
        <v>792</v>
      </c>
      <c r="BD52" s="41">
        <f t="shared" si="18"/>
        <v>5958.762</v>
      </c>
      <c r="BE52" s="41">
        <f>SUM(BE48:BE51)</f>
        <v>95.672</v>
      </c>
      <c r="BF52" s="41">
        <f>SUM(BF48:BF51)</f>
        <v>158</v>
      </c>
      <c r="BG52" s="41">
        <f t="shared" si="18"/>
        <v>0</v>
      </c>
      <c r="BH52" s="41">
        <f t="shared" si="18"/>
        <v>5566.863</v>
      </c>
      <c r="BI52" s="41">
        <f t="shared" si="18"/>
        <v>189.715</v>
      </c>
      <c r="BK52" s="41">
        <f>SUM(B52:BJ52)</f>
        <v>2996953.827999998</v>
      </c>
      <c r="BL52" s="41"/>
      <c r="BM52" s="41">
        <f>C52+V52+AD52+AH52+AN52+AP52+AS52+AU52+AW52+AZ52+BB52+BD52+BE52+BG52</f>
        <v>315775.627</v>
      </c>
      <c r="BN52" s="41">
        <f>B52+D52+E52+F52+G52+H52+I52+J52+K52+L52+M52+N52+O52+P52+Q52+R52+S52+T52+U52+W52+X52+Y52+Z52+AA52+AB52+AC52+AE52+AF52+AG52+AI52+AJ52+AK52+AM52+AL52+AO52+AQ52+AT52+AV52+AX52+AY52+BA52+BC52+BH52+BI52+AR52+BF52</f>
        <v>2681178.200999998</v>
      </c>
      <c r="BO52" s="41"/>
    </row>
    <row r="53" spans="1:66" ht="6" customHeight="1">
      <c r="A53" s="60"/>
      <c r="BK53" s="41"/>
      <c r="BL53" s="41"/>
      <c r="BM53" s="41"/>
      <c r="BN53" s="41"/>
    </row>
    <row r="54" spans="1:67" ht="12.75">
      <c r="A54" s="66" t="s">
        <v>422</v>
      </c>
      <c r="B54" s="41">
        <v>20415.285</v>
      </c>
      <c r="C54" s="41">
        <v>0</v>
      </c>
      <c r="D54" s="41">
        <v>0</v>
      </c>
      <c r="E54" s="41">
        <v>8038.131</v>
      </c>
      <c r="F54" s="41">
        <v>18137.837</v>
      </c>
      <c r="G54" s="41">
        <v>0</v>
      </c>
      <c r="H54" s="41">
        <v>0</v>
      </c>
      <c r="I54" s="41">
        <v>0</v>
      </c>
      <c r="J54" s="41">
        <v>0</v>
      </c>
      <c r="K54" s="41">
        <v>0</v>
      </c>
      <c r="L54" s="41">
        <v>0</v>
      </c>
      <c r="M54" s="41">
        <v>0</v>
      </c>
      <c r="N54" s="41">
        <v>10228.729</v>
      </c>
      <c r="O54" s="41">
        <v>0</v>
      </c>
      <c r="P54" s="41">
        <v>0</v>
      </c>
      <c r="Q54" s="41">
        <v>0</v>
      </c>
      <c r="R54" s="41">
        <v>0</v>
      </c>
      <c r="S54" s="41">
        <v>0</v>
      </c>
      <c r="T54" s="41">
        <v>0</v>
      </c>
      <c r="U54" s="41">
        <v>0</v>
      </c>
      <c r="V54" s="41">
        <v>0</v>
      </c>
      <c r="W54" s="41">
        <v>64.118</v>
      </c>
      <c r="X54" s="41">
        <v>0</v>
      </c>
      <c r="Y54" s="41">
        <v>0</v>
      </c>
      <c r="Z54" s="41">
        <v>0</v>
      </c>
      <c r="AA54" s="41">
        <v>0</v>
      </c>
      <c r="AB54" s="41">
        <v>0</v>
      </c>
      <c r="AC54" s="41">
        <v>0</v>
      </c>
      <c r="AD54" s="41">
        <v>0</v>
      </c>
      <c r="AE54" s="41">
        <v>0</v>
      </c>
      <c r="AF54" s="41">
        <v>0</v>
      </c>
      <c r="AG54" s="41">
        <v>0</v>
      </c>
      <c r="AH54" s="41">
        <v>0</v>
      </c>
      <c r="AI54" s="41">
        <v>0</v>
      </c>
      <c r="AJ54" s="41">
        <v>0</v>
      </c>
      <c r="AK54" s="41">
        <v>0</v>
      </c>
      <c r="AL54" s="41">
        <v>0</v>
      </c>
      <c r="AM54" s="41">
        <v>0</v>
      </c>
      <c r="AN54" s="41">
        <v>0</v>
      </c>
      <c r="AO54" s="41">
        <v>0</v>
      </c>
      <c r="AP54" s="41">
        <v>0</v>
      </c>
      <c r="AQ54" s="41">
        <v>0</v>
      </c>
      <c r="AR54" s="41">
        <v>0</v>
      </c>
      <c r="AS54" s="41">
        <v>0</v>
      </c>
      <c r="AT54" s="41">
        <v>0</v>
      </c>
      <c r="AU54" s="41">
        <v>0</v>
      </c>
      <c r="AV54" s="41">
        <v>0</v>
      </c>
      <c r="AW54" s="41">
        <v>0</v>
      </c>
      <c r="AX54" s="41">
        <v>0</v>
      </c>
      <c r="AY54" s="41">
        <v>0</v>
      </c>
      <c r="AZ54" s="41">
        <v>0</v>
      </c>
      <c r="BA54" s="41">
        <v>0</v>
      </c>
      <c r="BB54" s="41">
        <v>0</v>
      </c>
      <c r="BC54" s="41">
        <v>0</v>
      </c>
      <c r="BD54" s="41">
        <v>0</v>
      </c>
      <c r="BE54" s="41">
        <v>0</v>
      </c>
      <c r="BF54" s="41">
        <v>0</v>
      </c>
      <c r="BG54" s="41">
        <v>0</v>
      </c>
      <c r="BH54" s="41">
        <v>0</v>
      </c>
      <c r="BI54" s="41">
        <v>0</v>
      </c>
      <c r="BK54" s="41">
        <f>SUM(B54:BJ54)</f>
        <v>56884.1</v>
      </c>
      <c r="BL54" s="41"/>
      <c r="BM54" s="41">
        <f>C54+V54+AD54+AH54+AN54+AP54+AS54+AU54+AW54+AZ54+BB54+BD54+BE54+BG54</f>
        <v>0</v>
      </c>
      <c r="BN54" s="41">
        <f>B54+D54+E54+F54+G54+H54+I54+J54+K54+L54+M54+N54+O54+P54+Q54+R54+S54+T54+U54+W54+X54+Y54+Z54+AA54+AB54+AC54+AE54+AF54+AG54+AI54+AJ54+AK54+AM54+AL54+AO54+AQ54+AT54+AV54+AX54+AY54+BA54+BC54+BH54+BI54+AR54+BF54</f>
        <v>56884.1</v>
      </c>
      <c r="BO54" s="41"/>
    </row>
    <row r="55" spans="1:66" ht="6" customHeight="1">
      <c r="A55" s="66"/>
      <c r="BK55" s="41"/>
      <c r="BL55" s="41"/>
      <c r="BM55" s="41"/>
      <c r="BN55" s="41"/>
    </row>
    <row r="56" spans="1:67" ht="15.75" customHeight="1">
      <c r="A56" s="67" t="s">
        <v>354</v>
      </c>
      <c r="B56" s="41">
        <f>B45+B52+B54</f>
        <v>1054006.724</v>
      </c>
      <c r="C56" s="41">
        <f>C45+C52+C54</f>
        <v>211174.63300000003</v>
      </c>
      <c r="D56" s="41">
        <f aca="true" t="shared" si="19" ref="D56:AQ56">D45+D52+D54</f>
        <v>759468.496</v>
      </c>
      <c r="E56" s="41">
        <f>E45+E52+E54</f>
        <v>29190.107</v>
      </c>
      <c r="F56" s="41">
        <f t="shared" si="19"/>
        <v>28941.101</v>
      </c>
      <c r="G56" s="41">
        <f t="shared" si="19"/>
        <v>26152.076999999997</v>
      </c>
      <c r="H56" s="41">
        <f t="shared" si="19"/>
        <v>23.912</v>
      </c>
      <c r="I56" s="41">
        <f t="shared" si="19"/>
        <v>30550.146</v>
      </c>
      <c r="J56" s="41">
        <f t="shared" si="19"/>
        <v>17709.978</v>
      </c>
      <c r="K56" s="41">
        <f t="shared" si="19"/>
        <v>146563.317</v>
      </c>
      <c r="L56" s="41">
        <f t="shared" si="19"/>
        <v>2171.613</v>
      </c>
      <c r="M56" s="41">
        <f>M45+M52+M54</f>
        <v>147988.329</v>
      </c>
      <c r="N56" s="41">
        <f t="shared" si="19"/>
        <v>16908.867</v>
      </c>
      <c r="O56" s="41">
        <f t="shared" si="19"/>
        <v>9767.324</v>
      </c>
      <c r="P56" s="41">
        <f>P45+P52+P54</f>
        <v>44546.397</v>
      </c>
      <c r="Q56" s="41">
        <f t="shared" si="19"/>
        <v>16003.489</v>
      </c>
      <c r="R56" s="41">
        <f t="shared" si="19"/>
        <v>2067.635</v>
      </c>
      <c r="S56" s="41">
        <f>S45+S52+S54</f>
        <v>2138.651</v>
      </c>
      <c r="T56" s="41">
        <f t="shared" si="19"/>
        <v>1747.423</v>
      </c>
      <c r="U56" s="41">
        <f>U45+U52+U54</f>
        <v>981.445</v>
      </c>
      <c r="V56" s="41">
        <f>V45+V52+V54</f>
        <v>7005.723</v>
      </c>
      <c r="W56" s="41">
        <f>W45+W52+W54</f>
        <v>39709.33</v>
      </c>
      <c r="X56" s="41">
        <f t="shared" si="19"/>
        <v>13996.622</v>
      </c>
      <c r="Y56" s="41">
        <f>Y45+Y52+Y54</f>
        <v>29896</v>
      </c>
      <c r="Z56" s="41">
        <f t="shared" si="19"/>
        <v>164.64</v>
      </c>
      <c r="AA56" s="41">
        <f t="shared" si="19"/>
        <v>1490.888</v>
      </c>
      <c r="AB56" s="41">
        <f>AB45+AB52+AB54</f>
        <v>160221.361</v>
      </c>
      <c r="AC56" s="41">
        <f>AC45+AC52+AC54</f>
        <v>201.626</v>
      </c>
      <c r="AD56" s="41">
        <f t="shared" si="19"/>
        <v>45637.615</v>
      </c>
      <c r="AE56" s="41">
        <f>AE45+AE52+AE54</f>
        <v>16625.072</v>
      </c>
      <c r="AF56" s="41">
        <f t="shared" si="19"/>
        <v>1336.114</v>
      </c>
      <c r="AG56" s="41">
        <f t="shared" si="19"/>
        <v>1585.48</v>
      </c>
      <c r="AH56" s="41">
        <f t="shared" si="19"/>
        <v>0</v>
      </c>
      <c r="AI56" s="41">
        <f>AI45+AI52+AI54</f>
        <v>0</v>
      </c>
      <c r="AJ56" s="41">
        <f t="shared" si="19"/>
        <v>1801.385</v>
      </c>
      <c r="AK56" s="41">
        <f t="shared" si="19"/>
        <v>202.297</v>
      </c>
      <c r="AL56" s="41">
        <f>AL45+AL52+AL54</f>
        <v>75.402</v>
      </c>
      <c r="AM56" s="41">
        <f>AM45+AM52+AM54</f>
        <v>142591.973</v>
      </c>
      <c r="AN56" s="41">
        <f t="shared" si="19"/>
        <v>33273.536</v>
      </c>
      <c r="AO56" s="41">
        <f t="shared" si="19"/>
        <v>2756.305</v>
      </c>
      <c r="AP56" s="41">
        <f t="shared" si="19"/>
        <v>8876.931</v>
      </c>
      <c r="AQ56" s="41">
        <f t="shared" si="19"/>
        <v>11401.579</v>
      </c>
      <c r="AR56" s="41">
        <f>AR45+AR52+AR54</f>
        <v>19985.557</v>
      </c>
      <c r="AS56" s="41">
        <f aca="true" t="shared" si="20" ref="AS56:BI56">AS45+AS52+AS54</f>
        <v>3628.264</v>
      </c>
      <c r="AT56" s="41">
        <f>AT45+AT52+AT54</f>
        <v>3189.964</v>
      </c>
      <c r="AU56" s="41">
        <f t="shared" si="20"/>
        <v>2081.977</v>
      </c>
      <c r="AV56" s="41">
        <f t="shared" si="20"/>
        <v>1538.189</v>
      </c>
      <c r="AW56" s="41">
        <f>AW45+AW52+AW54</f>
        <v>2299.024</v>
      </c>
      <c r="AX56" s="41">
        <f t="shared" si="20"/>
        <v>1252.437</v>
      </c>
      <c r="AY56" s="41">
        <f t="shared" si="20"/>
        <v>403.956</v>
      </c>
      <c r="AZ56" s="41">
        <f>AZ45+AZ52+AZ54</f>
        <v>2857.138</v>
      </c>
      <c r="BA56" s="41">
        <f t="shared" si="20"/>
        <v>0</v>
      </c>
      <c r="BB56" s="41">
        <f t="shared" si="20"/>
        <v>725.36</v>
      </c>
      <c r="BC56" s="41">
        <f t="shared" si="20"/>
        <v>792</v>
      </c>
      <c r="BD56" s="41">
        <f t="shared" si="20"/>
        <v>5958.762</v>
      </c>
      <c r="BE56" s="41">
        <f>BE45+BE52+BE54</f>
        <v>95.672</v>
      </c>
      <c r="BF56" s="41">
        <f>BF45+BF52+BF54</f>
        <v>158</v>
      </c>
      <c r="BG56" s="41">
        <f t="shared" si="20"/>
        <v>0</v>
      </c>
      <c r="BH56" s="41">
        <f t="shared" si="20"/>
        <v>5566.863</v>
      </c>
      <c r="BI56" s="41">
        <f t="shared" si="20"/>
        <v>189.715</v>
      </c>
      <c r="BK56" s="41">
        <f>SUM(B56:BJ56)</f>
        <v>3117674.4209999987</v>
      </c>
      <c r="BL56" s="41"/>
      <c r="BM56" s="41">
        <f>C56+V56+AD56+AH56+AN56+AP56+AS56+AU56+AW56+AZ56+BB56+BD56+BE56+BG56</f>
        <v>323614.635</v>
      </c>
      <c r="BN56" s="41">
        <f>B56+D56+E56+F56+G56+H56+I56+J56+K56+L56+M56+N56+O56+P56+Q56+R56+S56+T56+U56+W56+X56+Y56+Z56+AA56+AB56+AC56+AE56+AF56+AG56+AI56+AJ56+AK56+AM56+AL56+AO56+AQ56+AT56+AV56+AX56+AY56+BA56+BC56+BH56+BI56+AR56+BF56</f>
        <v>2794059.7859999985</v>
      </c>
      <c r="BO56" s="41"/>
    </row>
    <row r="57" spans="1:66" ht="13.5" customHeight="1">
      <c r="A57" s="60" t="s">
        <v>145</v>
      </c>
      <c r="BK57" s="41"/>
      <c r="BL57" s="41"/>
      <c r="BM57" s="41"/>
      <c r="BN57" s="41"/>
    </row>
    <row r="58" spans="1:68" ht="12.75">
      <c r="A58" s="60" t="s">
        <v>146</v>
      </c>
      <c r="B58" s="41">
        <f>B41-B56</f>
        <v>75604040.748</v>
      </c>
      <c r="C58" s="41">
        <f>C41-C56</f>
        <v>61105843.680999994</v>
      </c>
      <c r="D58" s="41">
        <f aca="true" t="shared" si="21" ref="D58:AQ58">D41-D56</f>
        <v>45578663.336</v>
      </c>
      <c r="E58" s="41">
        <f>E41-E56</f>
        <v>39546394.13099999</v>
      </c>
      <c r="F58" s="41">
        <f t="shared" si="21"/>
        <v>38938962.862</v>
      </c>
      <c r="G58" s="41">
        <f t="shared" si="21"/>
        <v>18733051.799999997</v>
      </c>
      <c r="H58" s="41">
        <f t="shared" si="21"/>
        <v>17707301.233</v>
      </c>
      <c r="I58" s="41">
        <f t="shared" si="21"/>
        <v>17152927.466</v>
      </c>
      <c r="J58" s="41">
        <f t="shared" si="21"/>
        <v>14568854.957</v>
      </c>
      <c r="K58" s="41">
        <f t="shared" si="21"/>
        <v>14543967.707</v>
      </c>
      <c r="L58" s="41">
        <f t="shared" si="21"/>
        <v>13468985.354999999</v>
      </c>
      <c r="M58" s="41">
        <f>M41-M56</f>
        <v>12158485.009</v>
      </c>
      <c r="N58" s="41">
        <f t="shared" si="21"/>
        <v>11379958.214999998</v>
      </c>
      <c r="O58" s="41">
        <f t="shared" si="21"/>
        <v>11378547.701000001</v>
      </c>
      <c r="P58" s="41">
        <f>P41-P56</f>
        <v>10308089.395</v>
      </c>
      <c r="Q58" s="41">
        <f t="shared" si="21"/>
        <v>9696067.011000002</v>
      </c>
      <c r="R58" s="41">
        <f t="shared" si="21"/>
        <v>9454707.751000004</v>
      </c>
      <c r="S58" s="41">
        <f>S41-S56</f>
        <v>7464141.545000001</v>
      </c>
      <c r="T58" s="41">
        <f t="shared" si="21"/>
        <v>6900107.050999999</v>
      </c>
      <c r="U58" s="41">
        <f>U41-U56</f>
        <v>6617626.916</v>
      </c>
      <c r="V58" s="41">
        <f>V41-V56</f>
        <v>6319783.056</v>
      </c>
      <c r="W58" s="41">
        <f>W41-W56</f>
        <v>6153905.3100000005</v>
      </c>
      <c r="X58" s="41">
        <f t="shared" si="21"/>
        <v>5978913.728999999</v>
      </c>
      <c r="Y58" s="41">
        <f>Y41-Y56</f>
        <v>5440357</v>
      </c>
      <c r="Z58" s="41">
        <f t="shared" si="21"/>
        <v>5096100.049000001</v>
      </c>
      <c r="AA58" s="41">
        <f t="shared" si="21"/>
        <v>4935652.306</v>
      </c>
      <c r="AB58" s="41">
        <f>AB41-AB56</f>
        <v>3322550.5100000002</v>
      </c>
      <c r="AC58" s="41">
        <f>AC41-AC56</f>
        <v>3029798.1109999996</v>
      </c>
      <c r="AD58" s="41">
        <f t="shared" si="21"/>
        <v>3004878.706</v>
      </c>
      <c r="AE58" s="41">
        <f>AE41-AE56</f>
        <v>2873725.8469999996</v>
      </c>
      <c r="AF58" s="41">
        <f t="shared" si="21"/>
        <v>2843557.577</v>
      </c>
      <c r="AG58" s="41">
        <f t="shared" si="21"/>
        <v>2734930.6380000003</v>
      </c>
      <c r="AH58" s="41">
        <f t="shared" si="21"/>
        <v>2533834.194</v>
      </c>
      <c r="AI58" s="41">
        <f>AI41-AI56</f>
        <v>1969065.5210000002</v>
      </c>
      <c r="AJ58" s="41">
        <f t="shared" si="21"/>
        <v>1941745.286</v>
      </c>
      <c r="AK58" s="41">
        <f t="shared" si="21"/>
        <v>1645907.0389999996</v>
      </c>
      <c r="AL58" s="41">
        <f>AL41-AL56</f>
        <v>1536425.9760000003</v>
      </c>
      <c r="AM58" s="41">
        <f>AM41-AM56</f>
        <v>1508002.205</v>
      </c>
      <c r="AN58" s="41">
        <f t="shared" si="21"/>
        <v>1254878.1639999999</v>
      </c>
      <c r="AO58" s="41">
        <f t="shared" si="21"/>
        <v>1158585.3500000003</v>
      </c>
      <c r="AP58" s="41">
        <f t="shared" si="21"/>
        <v>1144350.632</v>
      </c>
      <c r="AQ58" s="41">
        <f t="shared" si="21"/>
        <v>1071768.286</v>
      </c>
      <c r="AR58" s="41">
        <f>AR41-AR56</f>
        <v>1033815.5549999999</v>
      </c>
      <c r="AS58" s="41">
        <f aca="true" t="shared" si="22" ref="AS58:BI58">AS41-AS56</f>
        <v>986069.7000000002</v>
      </c>
      <c r="AT58" s="41">
        <f>AT41-AT56</f>
        <v>960044.386</v>
      </c>
      <c r="AU58" s="41">
        <f t="shared" si="22"/>
        <v>712937.021</v>
      </c>
      <c r="AV58" s="41">
        <f t="shared" si="22"/>
        <v>663862.4270000001</v>
      </c>
      <c r="AW58" s="41">
        <f>AW41-AW56</f>
        <v>575842.626</v>
      </c>
      <c r="AX58" s="41">
        <f t="shared" si="22"/>
        <v>573198.334</v>
      </c>
      <c r="AY58" s="41">
        <f t="shared" si="22"/>
        <v>460896.326</v>
      </c>
      <c r="AZ58" s="41">
        <f>AZ41-AZ56</f>
        <v>448140.628</v>
      </c>
      <c r="BA58" s="41">
        <f t="shared" si="22"/>
        <v>404826.633</v>
      </c>
      <c r="BB58" s="41">
        <f t="shared" si="22"/>
        <v>271325.77999999997</v>
      </c>
      <c r="BC58" s="41">
        <f t="shared" si="22"/>
        <v>165042.607</v>
      </c>
      <c r="BD58" s="41">
        <f t="shared" si="22"/>
        <v>163389.986</v>
      </c>
      <c r="BE58" s="41">
        <f>BE41-BE56</f>
        <v>134524.916</v>
      </c>
      <c r="BF58" s="41">
        <f>BF41-BF56</f>
        <v>106532.07800000001</v>
      </c>
      <c r="BG58" s="41">
        <f t="shared" si="22"/>
        <v>88750.403</v>
      </c>
      <c r="BH58" s="41">
        <f t="shared" si="22"/>
        <v>34159.593</v>
      </c>
      <c r="BI58" s="41">
        <f t="shared" si="22"/>
        <v>10213.533</v>
      </c>
      <c r="BK58" s="41">
        <f>SUM(B58:BJ58)</f>
        <v>517599011.89399993</v>
      </c>
      <c r="BL58" s="41"/>
      <c r="BM58" s="41">
        <f>C58+V58+AD58+AH58+AN58+AP58+AS58+AU58+AW58+AZ58+BB58+BD58+BE58+BG58</f>
        <v>78744549.493</v>
      </c>
      <c r="BN58" s="41">
        <f>B58+D58+E58+F58+G58+H58+I58+J58+K58+L58+M58+N58+O58+P58+Q58+R58+S58+T58+U58+W58+X58+Y58+Z58+AA58+AB58+AC58+AE58+AF58+AG58+AI58+AJ58+AK58+AM58+AL58+AO58+AQ58+AT58+AV58+AX58+AY58+BA58+BC58+BH58+BI58+AR58+BF58</f>
        <v>438854462.4009999</v>
      </c>
      <c r="BO58" s="41"/>
      <c r="BP58" s="41"/>
    </row>
    <row r="59" spans="1:66" ht="12" customHeight="1">
      <c r="A59" s="39"/>
      <c r="B59" s="39"/>
      <c r="C59" s="39"/>
      <c r="D59" s="39"/>
      <c r="E59" s="39"/>
      <c r="F59" s="39"/>
      <c r="G59" s="39"/>
      <c r="BM59" s="41"/>
      <c r="BN59" s="41"/>
    </row>
    <row r="60" spans="1:77" s="136" customFormat="1" ht="11.25" customHeight="1">
      <c r="A60" s="148"/>
      <c r="B60" s="149"/>
      <c r="C60" s="149"/>
      <c r="D60" s="149"/>
      <c r="E60" s="149"/>
      <c r="F60" s="149"/>
      <c r="G60" s="149"/>
      <c r="H60" s="149"/>
      <c r="I60" s="149"/>
      <c r="J60" s="149"/>
      <c r="K60" s="149"/>
      <c r="L60" s="149"/>
      <c r="M60" s="149"/>
      <c r="N60" s="149"/>
      <c r="O60" s="149"/>
      <c r="P60" s="149"/>
      <c r="Q60" s="149"/>
      <c r="R60" s="149"/>
      <c r="S60" s="149"/>
      <c r="T60" s="149"/>
      <c r="U60" s="149"/>
      <c r="V60" s="149"/>
      <c r="W60" s="149"/>
      <c r="X60" s="149"/>
      <c r="Y60" s="149"/>
      <c r="Z60" s="149"/>
      <c r="AA60" s="149"/>
      <c r="AB60" s="149"/>
      <c r="AC60" s="149"/>
      <c r="AD60" s="149"/>
      <c r="AE60" s="149"/>
      <c r="AF60" s="149"/>
      <c r="AG60" s="149"/>
      <c r="AH60" s="149"/>
      <c r="AI60" s="149"/>
      <c r="AJ60" s="149"/>
      <c r="AK60" s="149"/>
      <c r="AL60" s="149"/>
      <c r="AM60" s="149"/>
      <c r="AN60" s="149"/>
      <c r="AO60" s="149"/>
      <c r="AP60" s="149"/>
      <c r="AQ60" s="149"/>
      <c r="AR60" s="149"/>
      <c r="AS60" s="149"/>
      <c r="AT60" s="149"/>
      <c r="AU60" s="149"/>
      <c r="AV60" s="149"/>
      <c r="AW60" s="149"/>
      <c r="AX60" s="149"/>
      <c r="AY60" s="149"/>
      <c r="AZ60" s="149"/>
      <c r="BA60" s="149"/>
      <c r="BB60" s="149"/>
      <c r="BC60" s="149"/>
      <c r="BD60" s="149"/>
      <c r="BE60" s="149"/>
      <c r="BF60" s="149"/>
      <c r="BG60" s="149"/>
      <c r="BH60" s="149"/>
      <c r="BI60" s="149"/>
      <c r="BK60" s="149"/>
      <c r="BL60" s="149"/>
      <c r="BM60" s="149"/>
      <c r="BN60" s="149"/>
      <c r="BO60" s="149"/>
      <c r="BP60" s="149"/>
      <c r="BQ60" s="149"/>
      <c r="BR60" s="149"/>
      <c r="BS60" s="149"/>
      <c r="BT60" s="149"/>
      <c r="BU60" s="149"/>
      <c r="BV60" s="149"/>
      <c r="BW60" s="149"/>
      <c r="BX60" s="149"/>
      <c r="BY60" s="149"/>
    </row>
    <row r="61" spans="1:77" s="136" customFormat="1" ht="4.5" customHeight="1">
      <c r="A61" s="148"/>
      <c r="B61" s="149"/>
      <c r="C61" s="149"/>
      <c r="D61" s="149"/>
      <c r="E61" s="149"/>
      <c r="F61" s="149"/>
      <c r="G61" s="149"/>
      <c r="H61" s="149"/>
      <c r="I61" s="149"/>
      <c r="J61" s="149"/>
      <c r="K61" s="149"/>
      <c r="L61" s="149"/>
      <c r="M61" s="149"/>
      <c r="N61" s="149"/>
      <c r="O61" s="149"/>
      <c r="P61" s="149"/>
      <c r="Q61" s="149"/>
      <c r="R61" s="149"/>
      <c r="S61" s="149"/>
      <c r="T61" s="149"/>
      <c r="U61" s="149"/>
      <c r="V61" s="149"/>
      <c r="W61" s="149"/>
      <c r="X61" s="149"/>
      <c r="Y61" s="149"/>
      <c r="Z61" s="149"/>
      <c r="AA61" s="149"/>
      <c r="AB61" s="149"/>
      <c r="AC61" s="149"/>
      <c r="AD61" s="149"/>
      <c r="AE61" s="149"/>
      <c r="AF61" s="149"/>
      <c r="AG61" s="149"/>
      <c r="AH61" s="149"/>
      <c r="AI61" s="149"/>
      <c r="AJ61" s="149"/>
      <c r="AK61" s="149"/>
      <c r="AL61" s="149"/>
      <c r="AM61" s="149"/>
      <c r="AN61" s="149"/>
      <c r="AO61" s="149"/>
      <c r="AP61" s="149"/>
      <c r="AQ61" s="149"/>
      <c r="AR61" s="149"/>
      <c r="AS61" s="149"/>
      <c r="AT61" s="149"/>
      <c r="AU61" s="149"/>
      <c r="AV61" s="149"/>
      <c r="AW61" s="149"/>
      <c r="AX61" s="149"/>
      <c r="AY61" s="149"/>
      <c r="AZ61" s="149"/>
      <c r="BA61" s="149"/>
      <c r="BB61" s="149"/>
      <c r="BC61" s="149"/>
      <c r="BD61" s="149"/>
      <c r="BE61" s="149"/>
      <c r="BF61" s="149"/>
      <c r="BG61" s="149"/>
      <c r="BH61" s="149"/>
      <c r="BI61" s="149"/>
      <c r="BK61" s="149"/>
      <c r="BL61" s="149"/>
      <c r="BM61" s="149"/>
      <c r="BN61" s="149"/>
      <c r="BO61" s="149"/>
      <c r="BP61" s="149"/>
      <c r="BQ61" s="149"/>
      <c r="BR61" s="149"/>
      <c r="BS61" s="149"/>
      <c r="BT61" s="149"/>
      <c r="BU61" s="149"/>
      <c r="BV61" s="149"/>
      <c r="BW61" s="149"/>
      <c r="BX61" s="149"/>
      <c r="BY61" s="149"/>
    </row>
    <row r="62" spans="1:77" s="136" customFormat="1" ht="11.25" customHeight="1">
      <c r="A62" s="148"/>
      <c r="B62" s="151"/>
      <c r="C62" s="149"/>
      <c r="D62" s="149"/>
      <c r="E62" s="149"/>
      <c r="F62" s="149"/>
      <c r="G62" s="149"/>
      <c r="H62" s="150"/>
      <c r="I62" s="149"/>
      <c r="K62" s="149"/>
      <c r="L62" s="149"/>
      <c r="M62" s="149"/>
      <c r="N62" s="149"/>
      <c r="O62" s="149"/>
      <c r="P62" s="149"/>
      <c r="Q62" s="149"/>
      <c r="R62" s="149"/>
      <c r="S62" s="149"/>
      <c r="T62" s="149"/>
      <c r="U62" s="149"/>
      <c r="V62" s="149"/>
      <c r="W62" s="150"/>
      <c r="X62" s="149"/>
      <c r="Y62" s="149"/>
      <c r="Z62" s="149"/>
      <c r="AA62" s="149"/>
      <c r="AB62" s="149"/>
      <c r="AC62" s="149"/>
      <c r="AD62" s="149"/>
      <c r="AE62" s="149"/>
      <c r="AF62" s="150"/>
      <c r="AG62" s="149"/>
      <c r="AH62" s="149"/>
      <c r="AI62" s="149"/>
      <c r="AJ62" s="149"/>
      <c r="AK62" s="149"/>
      <c r="AL62" s="149"/>
      <c r="AM62" s="149"/>
      <c r="AN62" s="149"/>
      <c r="AO62" s="150"/>
      <c r="AP62" s="149"/>
      <c r="AQ62" s="149"/>
      <c r="AR62" s="149"/>
      <c r="AS62" s="149"/>
      <c r="AT62" s="149"/>
      <c r="AU62" s="149"/>
      <c r="AV62" s="150"/>
      <c r="AW62" s="149"/>
      <c r="AX62" s="149"/>
      <c r="AY62" s="149"/>
      <c r="AZ62" s="149"/>
      <c r="BA62" s="149"/>
      <c r="BB62" s="149"/>
      <c r="BC62" s="149"/>
      <c r="BD62" s="149"/>
      <c r="BE62" s="149"/>
      <c r="BF62" s="149"/>
      <c r="BG62" s="149"/>
      <c r="BH62" s="149"/>
      <c r="BI62" s="149"/>
      <c r="BK62" s="149"/>
      <c r="BL62" s="149"/>
      <c r="BM62" s="149"/>
      <c r="BN62" s="149"/>
      <c r="BO62" s="149"/>
      <c r="BP62" s="149"/>
      <c r="BQ62" s="149"/>
      <c r="BR62" s="149"/>
      <c r="BS62" s="149"/>
      <c r="BT62" s="149"/>
      <c r="BU62" s="149"/>
      <c r="BV62" s="149"/>
      <c r="BW62" s="149"/>
      <c r="BX62" s="149"/>
      <c r="BY62" s="149"/>
    </row>
    <row r="63" spans="1:77" s="136" customFormat="1" ht="11.25" customHeight="1">
      <c r="A63" s="148"/>
      <c r="B63" s="151"/>
      <c r="C63" s="149"/>
      <c r="D63" s="149"/>
      <c r="E63" s="149"/>
      <c r="F63" s="149"/>
      <c r="G63" s="149"/>
      <c r="H63" s="150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50"/>
      <c r="X63" s="149"/>
      <c r="Y63" s="149"/>
      <c r="Z63" s="149"/>
      <c r="AA63" s="149"/>
      <c r="AB63" s="149"/>
      <c r="AC63" s="149"/>
      <c r="AD63" s="149"/>
      <c r="AE63" s="149"/>
      <c r="AF63" s="150"/>
      <c r="AG63" s="149"/>
      <c r="AH63" s="149"/>
      <c r="AI63" s="149"/>
      <c r="AJ63" s="149"/>
      <c r="AK63" s="149"/>
      <c r="AL63" s="149"/>
      <c r="AM63" s="149"/>
      <c r="AN63" s="149"/>
      <c r="AO63" s="150"/>
      <c r="AP63" s="149"/>
      <c r="AQ63" s="149"/>
      <c r="AR63" s="149"/>
      <c r="AS63" s="149"/>
      <c r="AT63" s="149"/>
      <c r="AU63" s="149"/>
      <c r="AV63" s="150"/>
      <c r="AW63" s="149"/>
      <c r="AX63" s="149"/>
      <c r="AY63" s="149"/>
      <c r="AZ63" s="149"/>
      <c r="BA63" s="149"/>
      <c r="BB63" s="149"/>
      <c r="BC63" s="149"/>
      <c r="BD63" s="149"/>
      <c r="BE63" s="149"/>
      <c r="BF63" s="149"/>
      <c r="BG63" s="149"/>
      <c r="BH63" s="149"/>
      <c r="BI63" s="149"/>
      <c r="BK63" s="149"/>
      <c r="BL63" s="149"/>
      <c r="BM63" s="149"/>
      <c r="BN63" s="149"/>
      <c r="BO63" s="149"/>
      <c r="BP63" s="149"/>
      <c r="BQ63" s="149"/>
      <c r="BR63" s="149"/>
      <c r="BS63" s="149"/>
      <c r="BT63" s="149"/>
      <c r="BU63" s="149"/>
      <c r="BV63" s="149"/>
      <c r="BW63" s="149"/>
      <c r="BX63" s="149"/>
      <c r="BY63" s="149"/>
    </row>
    <row r="64" spans="1:77" s="136" customFormat="1" ht="11.25" customHeight="1">
      <c r="A64" s="148"/>
      <c r="B64" s="151"/>
      <c r="C64" s="149"/>
      <c r="D64" s="149"/>
      <c r="E64" s="149"/>
      <c r="F64" s="149"/>
      <c r="G64" s="149"/>
      <c r="H64" s="150"/>
      <c r="I64" s="149"/>
      <c r="J64" s="149"/>
      <c r="K64" s="149"/>
      <c r="L64" s="149"/>
      <c r="M64" s="149"/>
      <c r="N64" s="149"/>
      <c r="O64" s="149"/>
      <c r="P64" s="149"/>
      <c r="Q64" s="149"/>
      <c r="R64" s="149"/>
      <c r="S64" s="149"/>
      <c r="T64" s="149"/>
      <c r="U64" s="149"/>
      <c r="V64" s="149"/>
      <c r="W64" s="150"/>
      <c r="X64" s="149"/>
      <c r="Y64" s="149"/>
      <c r="Z64" s="149"/>
      <c r="AA64" s="149"/>
      <c r="AB64" s="149"/>
      <c r="AC64" s="149"/>
      <c r="AD64" s="149"/>
      <c r="AE64" s="149"/>
      <c r="AF64" s="150"/>
      <c r="AG64" s="149"/>
      <c r="AH64" s="149"/>
      <c r="AI64" s="149"/>
      <c r="AJ64" s="149"/>
      <c r="AK64" s="149"/>
      <c r="AL64" s="149"/>
      <c r="AM64" s="149"/>
      <c r="AN64" s="149"/>
      <c r="AO64" s="150"/>
      <c r="AP64" s="149"/>
      <c r="AQ64" s="149"/>
      <c r="AR64" s="149"/>
      <c r="AS64" s="149"/>
      <c r="AT64" s="149"/>
      <c r="AU64" s="149"/>
      <c r="AV64" s="150"/>
      <c r="AW64" s="149"/>
      <c r="AX64" s="149"/>
      <c r="AY64" s="149"/>
      <c r="AZ64" s="149"/>
      <c r="BA64" s="149"/>
      <c r="BB64" s="149"/>
      <c r="BC64" s="149"/>
      <c r="BD64" s="149"/>
      <c r="BE64" s="149"/>
      <c r="BF64" s="149"/>
      <c r="BG64" s="149"/>
      <c r="BH64" s="149"/>
      <c r="BI64" s="149"/>
      <c r="BK64" s="149"/>
      <c r="BL64" s="149"/>
      <c r="BM64" s="149"/>
      <c r="BN64" s="149"/>
      <c r="BO64" s="149"/>
      <c r="BP64" s="149"/>
      <c r="BQ64" s="149"/>
      <c r="BR64" s="149"/>
      <c r="BS64" s="149"/>
      <c r="BT64" s="149"/>
      <c r="BU64" s="149"/>
      <c r="BV64" s="149"/>
      <c r="BW64" s="149"/>
      <c r="BX64" s="149"/>
      <c r="BY64" s="149"/>
    </row>
    <row r="65" spans="1:77" s="136" customFormat="1" ht="11.25" customHeight="1">
      <c r="A65" s="148"/>
      <c r="B65" s="151"/>
      <c r="C65" s="149"/>
      <c r="D65" s="149"/>
      <c r="E65" s="149"/>
      <c r="F65" s="149"/>
      <c r="G65" s="149"/>
      <c r="H65" s="150"/>
      <c r="K65" s="149"/>
      <c r="L65" s="149"/>
      <c r="M65" s="149"/>
      <c r="N65" s="149"/>
      <c r="O65" s="149"/>
      <c r="P65" s="149"/>
      <c r="Q65" s="149"/>
      <c r="R65" s="149"/>
      <c r="S65" s="149"/>
      <c r="T65" s="149"/>
      <c r="U65" s="149"/>
      <c r="V65" s="149"/>
      <c r="W65" s="150"/>
      <c r="X65" s="149"/>
      <c r="Y65" s="149"/>
      <c r="Z65" s="149"/>
      <c r="AA65" s="149"/>
      <c r="AB65" s="149"/>
      <c r="AC65" s="149"/>
      <c r="AD65" s="149"/>
      <c r="AE65" s="149"/>
      <c r="AF65" s="150"/>
      <c r="AG65" s="149"/>
      <c r="AH65" s="149"/>
      <c r="AI65" s="149"/>
      <c r="AJ65" s="149"/>
      <c r="AK65" s="149"/>
      <c r="AL65" s="149"/>
      <c r="AM65" s="149"/>
      <c r="AN65" s="149"/>
      <c r="AO65" s="150"/>
      <c r="AP65" s="149"/>
      <c r="AQ65" s="149"/>
      <c r="AR65" s="149"/>
      <c r="AS65" s="149"/>
      <c r="AT65" s="149"/>
      <c r="AU65" s="149"/>
      <c r="AV65" s="150"/>
      <c r="AW65" s="149"/>
      <c r="AX65" s="149"/>
      <c r="AY65" s="149"/>
      <c r="AZ65" s="149"/>
      <c r="BA65" s="149"/>
      <c r="BB65" s="149"/>
      <c r="BC65" s="149"/>
      <c r="BD65" s="149"/>
      <c r="BE65" s="149"/>
      <c r="BF65" s="149"/>
      <c r="BG65" s="149"/>
      <c r="BH65" s="149"/>
      <c r="BI65" s="149"/>
      <c r="BK65" s="149"/>
      <c r="BL65" s="149"/>
      <c r="BM65" s="149"/>
      <c r="BN65" s="149"/>
      <c r="BO65" s="149"/>
      <c r="BP65" s="149"/>
      <c r="BQ65" s="149"/>
      <c r="BR65" s="149"/>
      <c r="BS65" s="149"/>
      <c r="BT65" s="149"/>
      <c r="BU65" s="149"/>
      <c r="BV65" s="149"/>
      <c r="BW65" s="149"/>
      <c r="BX65" s="149"/>
      <c r="BY65" s="149"/>
    </row>
    <row r="66" spans="1:188" ht="12">
      <c r="A66" s="136"/>
      <c r="D66" s="136"/>
      <c r="E66" s="136"/>
      <c r="F66" s="136"/>
      <c r="G66" s="136"/>
      <c r="H66" s="136"/>
      <c r="I66" s="136"/>
      <c r="K66" s="136"/>
      <c r="L66" s="136"/>
      <c r="M66" s="136"/>
      <c r="N66" s="136"/>
      <c r="O66" s="136"/>
      <c r="P66" s="136"/>
      <c r="Q66" s="136"/>
      <c r="R66" s="136"/>
      <c r="S66" s="136"/>
      <c r="T66" s="136"/>
      <c r="U66" s="136"/>
      <c r="V66" s="136"/>
      <c r="W66" s="136"/>
      <c r="X66" s="136"/>
      <c r="Y66" s="136"/>
      <c r="Z66" s="136"/>
      <c r="AA66" s="136"/>
      <c r="AB66" s="136"/>
      <c r="AC66" s="136"/>
      <c r="AD66" s="136"/>
      <c r="AE66" s="136"/>
      <c r="AF66" s="136"/>
      <c r="AG66" s="136"/>
      <c r="AH66" s="136"/>
      <c r="AI66" s="136"/>
      <c r="AJ66" s="136"/>
      <c r="AK66" s="136"/>
      <c r="AL66" s="136"/>
      <c r="AM66" s="136"/>
      <c r="AN66" s="136"/>
      <c r="AO66" s="136"/>
      <c r="AP66" s="136"/>
      <c r="AQ66" s="136"/>
      <c r="AR66" s="136"/>
      <c r="AS66" s="136"/>
      <c r="AT66" s="136"/>
      <c r="AU66" s="136"/>
      <c r="AV66" s="136"/>
      <c r="AW66" s="136"/>
      <c r="AX66" s="136"/>
      <c r="AY66" s="136"/>
      <c r="AZ66" s="136"/>
      <c r="BA66" s="136"/>
      <c r="BB66" s="136"/>
      <c r="BC66" s="136"/>
      <c r="BD66" s="136"/>
      <c r="BE66" s="136"/>
      <c r="BF66" s="136"/>
      <c r="BG66" s="136"/>
      <c r="BH66" s="136"/>
      <c r="BI66" s="136"/>
      <c r="BK66" s="136"/>
      <c r="BL66" s="136"/>
      <c r="BM66" s="136"/>
      <c r="BN66" s="136"/>
      <c r="BO66" s="136"/>
      <c r="BP66" s="136"/>
      <c r="BQ66" s="136"/>
      <c r="BR66" s="136"/>
      <c r="BS66" s="136"/>
      <c r="BT66" s="136"/>
      <c r="BU66" s="136"/>
      <c r="BV66" s="136"/>
      <c r="BW66" s="136"/>
      <c r="BX66" s="136"/>
      <c r="BY66" s="136"/>
      <c r="BZ66" s="136"/>
      <c r="CA66" s="136"/>
      <c r="CB66" s="136"/>
      <c r="CC66" s="136"/>
      <c r="CD66" s="136"/>
      <c r="CE66" s="136"/>
      <c r="CF66" s="136"/>
      <c r="CG66" s="136"/>
      <c r="CH66" s="136"/>
      <c r="CI66" s="136"/>
      <c r="CJ66" s="136"/>
      <c r="CK66" s="136"/>
      <c r="CL66" s="136"/>
      <c r="CM66" s="136"/>
      <c r="CN66" s="136"/>
      <c r="CO66" s="136"/>
      <c r="CP66" s="136"/>
      <c r="CQ66" s="136"/>
      <c r="CR66" s="136"/>
      <c r="CS66" s="136"/>
      <c r="CT66" s="136"/>
      <c r="CU66" s="136"/>
      <c r="CV66" s="136"/>
      <c r="CW66" s="136"/>
      <c r="CX66" s="136"/>
      <c r="CY66" s="136"/>
      <c r="CZ66" s="136"/>
      <c r="DA66" s="136"/>
      <c r="DB66" s="136"/>
      <c r="DC66" s="136"/>
      <c r="DD66" s="136"/>
      <c r="DE66" s="136"/>
      <c r="DF66" s="136"/>
      <c r="DG66" s="136"/>
      <c r="DH66" s="136"/>
      <c r="DI66" s="136"/>
      <c r="DJ66" s="136"/>
      <c r="DK66" s="136"/>
      <c r="DL66" s="136"/>
      <c r="DM66" s="136"/>
      <c r="DN66" s="136"/>
      <c r="DO66" s="136"/>
      <c r="DP66" s="136"/>
      <c r="DQ66" s="136"/>
      <c r="DR66" s="136"/>
      <c r="DS66" s="136"/>
      <c r="DT66" s="136"/>
      <c r="DU66" s="136"/>
      <c r="DV66" s="136"/>
      <c r="DW66" s="136"/>
      <c r="DX66" s="136"/>
      <c r="DY66" s="136"/>
      <c r="DZ66" s="136"/>
      <c r="EA66" s="136"/>
      <c r="EB66" s="136"/>
      <c r="EC66" s="136"/>
      <c r="ED66" s="136"/>
      <c r="EE66" s="136"/>
      <c r="EF66" s="136"/>
      <c r="EG66" s="136"/>
      <c r="EH66" s="136"/>
      <c r="EI66" s="136"/>
      <c r="EJ66" s="136"/>
      <c r="EK66" s="136"/>
      <c r="EL66" s="136"/>
      <c r="EM66" s="136"/>
      <c r="EN66" s="136"/>
      <c r="EO66" s="136"/>
      <c r="EP66" s="136"/>
      <c r="EQ66" s="136"/>
      <c r="ER66" s="136"/>
      <c r="ES66" s="136"/>
      <c r="ET66" s="136"/>
      <c r="EU66" s="136"/>
      <c r="EV66" s="136"/>
      <c r="EW66" s="136"/>
      <c r="EX66" s="136"/>
      <c r="EY66" s="136"/>
      <c r="EZ66" s="136"/>
      <c r="FA66" s="136"/>
      <c r="FB66" s="136"/>
      <c r="FC66" s="136"/>
      <c r="FD66" s="136"/>
      <c r="FE66" s="136"/>
      <c r="FF66" s="136"/>
      <c r="FG66" s="136"/>
      <c r="FH66" s="136"/>
      <c r="FI66" s="136"/>
      <c r="FJ66" s="136"/>
      <c r="FK66" s="136"/>
      <c r="FL66" s="136"/>
      <c r="FM66" s="136"/>
      <c r="FN66" s="136"/>
      <c r="FO66" s="136"/>
      <c r="FP66" s="136"/>
      <c r="FQ66" s="136"/>
      <c r="FR66" s="136"/>
      <c r="FS66" s="136"/>
      <c r="FT66" s="136"/>
      <c r="FU66" s="136"/>
      <c r="FV66" s="136"/>
      <c r="FW66" s="136"/>
      <c r="FX66" s="136"/>
      <c r="FY66" s="136"/>
      <c r="FZ66" s="136"/>
      <c r="GA66" s="136"/>
      <c r="GB66" s="136"/>
      <c r="GC66" s="136"/>
      <c r="GD66" s="136"/>
      <c r="GE66" s="136"/>
      <c r="GF66" s="136"/>
    </row>
    <row r="67" spans="1:188" ht="12">
      <c r="A67" s="136"/>
      <c r="B67" s="136"/>
      <c r="D67" s="136"/>
      <c r="E67" s="136"/>
      <c r="F67" s="136"/>
      <c r="G67" s="136"/>
      <c r="H67" s="136"/>
      <c r="I67" s="136"/>
      <c r="K67" s="136"/>
      <c r="L67" s="136"/>
      <c r="M67" s="136"/>
      <c r="N67" s="136"/>
      <c r="O67" s="136"/>
      <c r="P67" s="136"/>
      <c r="Q67" s="136"/>
      <c r="R67" s="136"/>
      <c r="S67" s="136"/>
      <c r="T67" s="136"/>
      <c r="U67" s="136"/>
      <c r="V67" s="136"/>
      <c r="W67" s="136"/>
      <c r="X67" s="136"/>
      <c r="Y67" s="136"/>
      <c r="Z67" s="136"/>
      <c r="AA67" s="136"/>
      <c r="AB67" s="136"/>
      <c r="AC67" s="136"/>
      <c r="AD67" s="136"/>
      <c r="AE67" s="136"/>
      <c r="AF67" s="136"/>
      <c r="AG67" s="136"/>
      <c r="AH67" s="136"/>
      <c r="AI67" s="136"/>
      <c r="AJ67" s="136"/>
      <c r="AK67" s="136"/>
      <c r="AL67" s="136"/>
      <c r="AM67" s="136"/>
      <c r="AN67" s="136"/>
      <c r="AO67" s="136"/>
      <c r="AP67" s="136"/>
      <c r="AQ67" s="136"/>
      <c r="AR67" s="136"/>
      <c r="AS67" s="136"/>
      <c r="AT67" s="136"/>
      <c r="AU67" s="136"/>
      <c r="AV67" s="136"/>
      <c r="AW67" s="136"/>
      <c r="AX67" s="136"/>
      <c r="AY67" s="136"/>
      <c r="AZ67" s="136"/>
      <c r="BA67" s="136"/>
      <c r="BB67" s="136"/>
      <c r="BC67" s="136"/>
      <c r="BD67" s="136"/>
      <c r="BE67" s="136"/>
      <c r="BF67" s="136"/>
      <c r="BG67" s="136"/>
      <c r="BH67" s="136"/>
      <c r="BI67" s="136"/>
      <c r="BK67" s="136"/>
      <c r="BL67" s="136"/>
      <c r="BM67" s="136"/>
      <c r="BN67" s="136"/>
      <c r="BO67" s="136"/>
      <c r="BP67" s="136"/>
      <c r="BQ67" s="136"/>
      <c r="BR67" s="136"/>
      <c r="BS67" s="136"/>
      <c r="BT67" s="136"/>
      <c r="BU67" s="136"/>
      <c r="BV67" s="136"/>
      <c r="BW67" s="136"/>
      <c r="BX67" s="136"/>
      <c r="BY67" s="136"/>
      <c r="BZ67" s="136"/>
      <c r="CA67" s="136"/>
      <c r="CB67" s="136"/>
      <c r="CC67" s="136"/>
      <c r="CD67" s="136"/>
      <c r="CE67" s="136"/>
      <c r="CF67" s="136"/>
      <c r="CG67" s="136"/>
      <c r="CH67" s="136"/>
      <c r="CI67" s="136"/>
      <c r="CJ67" s="136"/>
      <c r="CK67" s="136"/>
      <c r="CL67" s="136"/>
      <c r="CM67" s="136"/>
      <c r="CN67" s="136"/>
      <c r="CO67" s="136"/>
      <c r="CP67" s="136"/>
      <c r="CQ67" s="136"/>
      <c r="CR67" s="136"/>
      <c r="CS67" s="136"/>
      <c r="CT67" s="136"/>
      <c r="CU67" s="136"/>
      <c r="CV67" s="136"/>
      <c r="CW67" s="136"/>
      <c r="CX67" s="136"/>
      <c r="CY67" s="136"/>
      <c r="CZ67" s="136"/>
      <c r="DA67" s="136"/>
      <c r="DB67" s="136"/>
      <c r="DC67" s="136"/>
      <c r="DD67" s="136"/>
      <c r="DE67" s="136"/>
      <c r="DF67" s="136"/>
      <c r="DG67" s="136"/>
      <c r="DH67" s="136"/>
      <c r="DI67" s="136"/>
      <c r="DJ67" s="136"/>
      <c r="DK67" s="136"/>
      <c r="DL67" s="136"/>
      <c r="DM67" s="136"/>
      <c r="DN67" s="136"/>
      <c r="DO67" s="136"/>
      <c r="DP67" s="136"/>
      <c r="DQ67" s="136"/>
      <c r="DR67" s="136"/>
      <c r="DS67" s="136"/>
      <c r="DT67" s="136"/>
      <c r="DU67" s="136"/>
      <c r="DV67" s="136"/>
      <c r="DW67" s="136"/>
      <c r="DX67" s="136"/>
      <c r="DY67" s="136"/>
      <c r="DZ67" s="136"/>
      <c r="EA67" s="136"/>
      <c r="EB67" s="136"/>
      <c r="EC67" s="136"/>
      <c r="ED67" s="136"/>
      <c r="EE67" s="136"/>
      <c r="EF67" s="136"/>
      <c r="EG67" s="136"/>
      <c r="EH67" s="136"/>
      <c r="EI67" s="136"/>
      <c r="EJ67" s="136"/>
      <c r="EK67" s="136"/>
      <c r="EL67" s="136"/>
      <c r="EM67" s="136"/>
      <c r="EN67" s="136"/>
      <c r="EO67" s="136"/>
      <c r="EP67" s="136"/>
      <c r="EQ67" s="136"/>
      <c r="ER67" s="136"/>
      <c r="ES67" s="136"/>
      <c r="ET67" s="136"/>
      <c r="EU67" s="136"/>
      <c r="EV67" s="136"/>
      <c r="EW67" s="136"/>
      <c r="EX67" s="136"/>
      <c r="EY67" s="136"/>
      <c r="EZ67" s="136"/>
      <c r="FA67" s="136"/>
      <c r="FB67" s="136"/>
      <c r="FC67" s="136"/>
      <c r="FD67" s="136"/>
      <c r="FE67" s="136"/>
      <c r="FF67" s="136"/>
      <c r="FG67" s="136"/>
      <c r="FH67" s="136"/>
      <c r="FI67" s="136"/>
      <c r="FJ67" s="136"/>
      <c r="FK67" s="136"/>
      <c r="FL67" s="136"/>
      <c r="FM67" s="136"/>
      <c r="FN67" s="136"/>
      <c r="FO67" s="136"/>
      <c r="FP67" s="136"/>
      <c r="FQ67" s="136"/>
      <c r="FR67" s="136"/>
      <c r="FS67" s="136"/>
      <c r="FT67" s="136"/>
      <c r="FU67" s="136"/>
      <c r="FV67" s="136"/>
      <c r="FW67" s="136"/>
      <c r="FX67" s="136"/>
      <c r="FY67" s="136"/>
      <c r="FZ67" s="136"/>
      <c r="GA67" s="136"/>
      <c r="GB67" s="136"/>
      <c r="GC67" s="136"/>
      <c r="GD67" s="136"/>
      <c r="GE67" s="136"/>
      <c r="GF67" s="136"/>
    </row>
    <row r="68" spans="1:188" ht="12">
      <c r="A68" s="136"/>
      <c r="B68" s="136"/>
      <c r="D68" s="136"/>
      <c r="E68" s="136"/>
      <c r="F68" s="136"/>
      <c r="G68" s="136"/>
      <c r="H68" s="136"/>
      <c r="I68" s="136"/>
      <c r="J68" s="136"/>
      <c r="K68" s="136"/>
      <c r="L68" s="136"/>
      <c r="M68" s="136"/>
      <c r="N68" s="136"/>
      <c r="O68" s="136"/>
      <c r="P68" s="136"/>
      <c r="Q68" s="136"/>
      <c r="R68" s="136"/>
      <c r="S68" s="136"/>
      <c r="T68" s="136"/>
      <c r="U68" s="136"/>
      <c r="V68" s="136"/>
      <c r="W68" s="136"/>
      <c r="X68" s="136"/>
      <c r="Y68" s="136"/>
      <c r="Z68" s="136"/>
      <c r="AA68" s="136"/>
      <c r="AB68" s="136"/>
      <c r="AC68" s="136"/>
      <c r="AD68" s="136"/>
      <c r="AE68" s="136"/>
      <c r="AF68" s="136"/>
      <c r="AG68" s="136"/>
      <c r="AH68" s="136"/>
      <c r="AI68" s="136"/>
      <c r="AJ68" s="136"/>
      <c r="AK68" s="136"/>
      <c r="AL68" s="136"/>
      <c r="AM68" s="136"/>
      <c r="AN68" s="136"/>
      <c r="AO68" s="136"/>
      <c r="AP68" s="136"/>
      <c r="AQ68" s="136"/>
      <c r="AR68" s="136"/>
      <c r="AS68" s="136"/>
      <c r="AT68" s="136"/>
      <c r="AU68" s="136"/>
      <c r="AV68" s="136"/>
      <c r="AW68" s="136"/>
      <c r="AX68" s="136"/>
      <c r="AY68" s="136"/>
      <c r="AZ68" s="136"/>
      <c r="BA68" s="136"/>
      <c r="BB68" s="136"/>
      <c r="BC68" s="136"/>
      <c r="BD68" s="136"/>
      <c r="BE68" s="136"/>
      <c r="BF68" s="136"/>
      <c r="BG68" s="136"/>
      <c r="BH68" s="136"/>
      <c r="BI68" s="136"/>
      <c r="BK68" s="136"/>
      <c r="BL68" s="136"/>
      <c r="BM68" s="136"/>
      <c r="BN68" s="136"/>
      <c r="BO68" s="136"/>
      <c r="BP68" s="136"/>
      <c r="BQ68" s="136"/>
      <c r="BR68" s="136"/>
      <c r="BS68" s="136"/>
      <c r="BT68" s="136"/>
      <c r="BU68" s="136"/>
      <c r="BV68" s="136"/>
      <c r="BW68" s="136"/>
      <c r="BX68" s="136"/>
      <c r="BY68" s="136"/>
      <c r="BZ68" s="136"/>
      <c r="CA68" s="136"/>
      <c r="CB68" s="136"/>
      <c r="CC68" s="136"/>
      <c r="CD68" s="136"/>
      <c r="CE68" s="136"/>
      <c r="CF68" s="136"/>
      <c r="CG68" s="136"/>
      <c r="CH68" s="136"/>
      <c r="CI68" s="136"/>
      <c r="CJ68" s="136"/>
      <c r="CK68" s="136"/>
      <c r="CL68" s="136"/>
      <c r="CM68" s="136"/>
      <c r="CN68" s="136"/>
      <c r="CO68" s="136"/>
      <c r="CP68" s="136"/>
      <c r="CQ68" s="136"/>
      <c r="CR68" s="136"/>
      <c r="CS68" s="136"/>
      <c r="CT68" s="136"/>
      <c r="CU68" s="136"/>
      <c r="CV68" s="136"/>
      <c r="CW68" s="136"/>
      <c r="CX68" s="136"/>
      <c r="CY68" s="136"/>
      <c r="CZ68" s="136"/>
      <c r="DA68" s="136"/>
      <c r="DB68" s="136"/>
      <c r="DC68" s="136"/>
      <c r="DD68" s="136"/>
      <c r="DE68" s="136"/>
      <c r="DF68" s="136"/>
      <c r="DG68" s="136"/>
      <c r="DH68" s="136"/>
      <c r="DI68" s="136"/>
      <c r="DJ68" s="136"/>
      <c r="DK68" s="136"/>
      <c r="DL68" s="136"/>
      <c r="DM68" s="136"/>
      <c r="DN68" s="136"/>
      <c r="DO68" s="136"/>
      <c r="DP68" s="136"/>
      <c r="DQ68" s="136"/>
      <c r="DR68" s="136"/>
      <c r="DS68" s="136"/>
      <c r="DT68" s="136"/>
      <c r="DU68" s="136"/>
      <c r="DV68" s="136"/>
      <c r="DW68" s="136"/>
      <c r="DX68" s="136"/>
      <c r="DY68" s="136"/>
      <c r="DZ68" s="136"/>
      <c r="EA68" s="136"/>
      <c r="EB68" s="136"/>
      <c r="EC68" s="136"/>
      <c r="ED68" s="136"/>
      <c r="EE68" s="136"/>
      <c r="EF68" s="136"/>
      <c r="EG68" s="136"/>
      <c r="EH68" s="136"/>
      <c r="EI68" s="136"/>
      <c r="EJ68" s="136"/>
      <c r="EK68" s="136"/>
      <c r="EL68" s="136"/>
      <c r="EM68" s="136"/>
      <c r="EN68" s="136"/>
      <c r="EO68" s="136"/>
      <c r="EP68" s="136"/>
      <c r="EQ68" s="136"/>
      <c r="ER68" s="136"/>
      <c r="ES68" s="136"/>
      <c r="ET68" s="136"/>
      <c r="EU68" s="136"/>
      <c r="EV68" s="136"/>
      <c r="EW68" s="136"/>
      <c r="EX68" s="136"/>
      <c r="EY68" s="136"/>
      <c r="EZ68" s="136"/>
      <c r="FA68" s="136"/>
      <c r="FB68" s="136"/>
      <c r="FC68" s="136"/>
      <c r="FD68" s="136"/>
      <c r="FE68" s="136"/>
      <c r="FF68" s="136"/>
      <c r="FG68" s="136"/>
      <c r="FH68" s="136"/>
      <c r="FI68" s="136"/>
      <c r="FJ68" s="136"/>
      <c r="FK68" s="136"/>
      <c r="FL68" s="136"/>
      <c r="FM68" s="136"/>
      <c r="FN68" s="136"/>
      <c r="FO68" s="136"/>
      <c r="FP68" s="136"/>
      <c r="FQ68" s="136"/>
      <c r="FR68" s="136"/>
      <c r="FS68" s="136"/>
      <c r="FT68" s="136"/>
      <c r="FU68" s="136"/>
      <c r="FV68" s="136"/>
      <c r="FW68" s="136"/>
      <c r="FX68" s="136"/>
      <c r="FY68" s="136"/>
      <c r="FZ68" s="136"/>
      <c r="GA68" s="136"/>
      <c r="GB68" s="136"/>
      <c r="GC68" s="136"/>
      <c r="GD68" s="136"/>
      <c r="GE68" s="136"/>
      <c r="GF68" s="136"/>
    </row>
    <row r="69" spans="1:188" ht="12">
      <c r="A69" s="136"/>
      <c r="B69" s="136"/>
      <c r="D69" s="136"/>
      <c r="E69" s="136"/>
      <c r="F69" s="136"/>
      <c r="G69" s="136"/>
      <c r="H69" s="136"/>
      <c r="I69" s="136"/>
      <c r="J69" s="136"/>
      <c r="K69" s="136"/>
      <c r="L69" s="136"/>
      <c r="M69" s="136"/>
      <c r="N69" s="136"/>
      <c r="O69" s="136"/>
      <c r="P69" s="136"/>
      <c r="Q69" s="136"/>
      <c r="R69" s="136"/>
      <c r="S69" s="136"/>
      <c r="T69" s="136"/>
      <c r="U69" s="136"/>
      <c r="V69" s="136"/>
      <c r="W69" s="136"/>
      <c r="X69" s="136"/>
      <c r="Y69" s="136"/>
      <c r="Z69" s="136"/>
      <c r="AA69" s="136"/>
      <c r="AB69" s="136"/>
      <c r="AC69" s="136"/>
      <c r="AD69" s="136"/>
      <c r="AE69" s="136"/>
      <c r="AF69" s="136"/>
      <c r="AG69" s="136"/>
      <c r="AH69" s="136"/>
      <c r="AI69" s="136"/>
      <c r="AJ69" s="136"/>
      <c r="AK69" s="136"/>
      <c r="AL69" s="136"/>
      <c r="AM69" s="136"/>
      <c r="AN69" s="136"/>
      <c r="AO69" s="136"/>
      <c r="AP69" s="136"/>
      <c r="AQ69" s="136"/>
      <c r="AR69" s="136"/>
      <c r="AS69" s="136"/>
      <c r="AT69" s="136"/>
      <c r="AU69" s="136"/>
      <c r="AV69" s="136"/>
      <c r="AW69" s="136"/>
      <c r="AX69" s="136"/>
      <c r="AY69" s="136"/>
      <c r="AZ69" s="136"/>
      <c r="BA69" s="136"/>
      <c r="BB69" s="136"/>
      <c r="BC69" s="136"/>
      <c r="BD69" s="136"/>
      <c r="BE69" s="136"/>
      <c r="BF69" s="136"/>
      <c r="BG69" s="136"/>
      <c r="BH69" s="136"/>
      <c r="BI69" s="136"/>
      <c r="BK69" s="136"/>
      <c r="BL69" s="136"/>
      <c r="BM69" s="136"/>
      <c r="BN69" s="136"/>
      <c r="BO69" s="136"/>
      <c r="BP69" s="136"/>
      <c r="BQ69" s="136"/>
      <c r="BR69" s="136"/>
      <c r="BS69" s="136"/>
      <c r="BT69" s="136"/>
      <c r="BU69" s="136"/>
      <c r="BV69" s="136"/>
      <c r="BW69" s="136"/>
      <c r="BX69" s="136"/>
      <c r="BY69" s="136"/>
      <c r="BZ69" s="136"/>
      <c r="CA69" s="136"/>
      <c r="CB69" s="136"/>
      <c r="CC69" s="136"/>
      <c r="CD69" s="136"/>
      <c r="CE69" s="136"/>
      <c r="CF69" s="136"/>
      <c r="CG69" s="136"/>
      <c r="CH69" s="136"/>
      <c r="CI69" s="136"/>
      <c r="CJ69" s="136"/>
      <c r="CK69" s="136"/>
      <c r="CL69" s="136"/>
      <c r="CM69" s="136"/>
      <c r="CN69" s="136"/>
      <c r="CO69" s="136"/>
      <c r="CP69" s="136"/>
      <c r="CQ69" s="136"/>
      <c r="CR69" s="136"/>
      <c r="CS69" s="136"/>
      <c r="CT69" s="136"/>
      <c r="CU69" s="136"/>
      <c r="CV69" s="136"/>
      <c r="CW69" s="136"/>
      <c r="CX69" s="136"/>
      <c r="CY69" s="136"/>
      <c r="CZ69" s="136"/>
      <c r="DA69" s="136"/>
      <c r="DB69" s="136"/>
      <c r="DC69" s="136"/>
      <c r="DD69" s="136"/>
      <c r="DE69" s="136"/>
      <c r="DF69" s="136"/>
      <c r="DG69" s="136"/>
      <c r="DH69" s="136"/>
      <c r="DI69" s="136"/>
      <c r="DJ69" s="136"/>
      <c r="DK69" s="136"/>
      <c r="DL69" s="136"/>
      <c r="DM69" s="136"/>
      <c r="DN69" s="136"/>
      <c r="DO69" s="136"/>
      <c r="DP69" s="136"/>
      <c r="DQ69" s="136"/>
      <c r="DR69" s="136"/>
      <c r="DS69" s="136"/>
      <c r="DT69" s="136"/>
      <c r="DU69" s="136"/>
      <c r="DV69" s="136"/>
      <c r="DW69" s="136"/>
      <c r="DX69" s="136"/>
      <c r="DY69" s="136"/>
      <c r="DZ69" s="136"/>
      <c r="EA69" s="136"/>
      <c r="EB69" s="136"/>
      <c r="EC69" s="136"/>
      <c r="ED69" s="136"/>
      <c r="EE69" s="136"/>
      <c r="EF69" s="136"/>
      <c r="EG69" s="136"/>
      <c r="EH69" s="136"/>
      <c r="EI69" s="136"/>
      <c r="EJ69" s="136"/>
      <c r="EK69" s="136"/>
      <c r="EL69" s="136"/>
      <c r="EM69" s="136"/>
      <c r="EN69" s="136"/>
      <c r="EO69" s="136"/>
      <c r="EP69" s="136"/>
      <c r="EQ69" s="136"/>
      <c r="ER69" s="136"/>
      <c r="ES69" s="136"/>
      <c r="ET69" s="136"/>
      <c r="EU69" s="136"/>
      <c r="EV69" s="136"/>
      <c r="EW69" s="136"/>
      <c r="EX69" s="136"/>
      <c r="EY69" s="136"/>
      <c r="EZ69" s="136"/>
      <c r="FA69" s="136"/>
      <c r="FB69" s="136"/>
      <c r="FC69" s="136"/>
      <c r="FD69" s="136"/>
      <c r="FE69" s="136"/>
      <c r="FF69" s="136"/>
      <c r="FG69" s="136"/>
      <c r="FH69" s="136"/>
      <c r="FI69" s="136"/>
      <c r="FJ69" s="136"/>
      <c r="FK69" s="136"/>
      <c r="FL69" s="136"/>
      <c r="FM69" s="136"/>
      <c r="FN69" s="136"/>
      <c r="FO69" s="136"/>
      <c r="FP69" s="136"/>
      <c r="FQ69" s="136"/>
      <c r="FR69" s="136"/>
      <c r="FS69" s="136"/>
      <c r="FT69" s="136"/>
      <c r="FU69" s="136"/>
      <c r="FV69" s="136"/>
      <c r="FW69" s="136"/>
      <c r="FX69" s="136"/>
      <c r="FY69" s="136"/>
      <c r="FZ69" s="136"/>
      <c r="GA69" s="136"/>
      <c r="GB69" s="136"/>
      <c r="GC69" s="136"/>
      <c r="GD69" s="136"/>
      <c r="GE69" s="136"/>
      <c r="GF69" s="136"/>
    </row>
    <row r="70" spans="1:188" ht="12">
      <c r="A70" s="136"/>
      <c r="B70" s="136"/>
      <c r="D70" s="136"/>
      <c r="E70" s="136"/>
      <c r="F70" s="136"/>
      <c r="G70" s="136"/>
      <c r="H70" s="136"/>
      <c r="I70" s="136"/>
      <c r="J70" s="136"/>
      <c r="K70" s="136"/>
      <c r="L70" s="136"/>
      <c r="M70" s="136"/>
      <c r="N70" s="136"/>
      <c r="O70" s="136"/>
      <c r="P70" s="136"/>
      <c r="Q70" s="136"/>
      <c r="R70" s="136"/>
      <c r="S70" s="136"/>
      <c r="T70" s="136"/>
      <c r="U70" s="136"/>
      <c r="V70" s="136"/>
      <c r="W70" s="136"/>
      <c r="X70" s="136"/>
      <c r="Y70" s="136"/>
      <c r="Z70" s="136"/>
      <c r="AA70" s="136"/>
      <c r="AB70" s="136"/>
      <c r="AC70" s="136"/>
      <c r="AD70" s="136"/>
      <c r="AE70" s="136"/>
      <c r="AF70" s="136"/>
      <c r="AG70" s="136"/>
      <c r="AH70" s="136"/>
      <c r="AI70" s="136"/>
      <c r="AJ70" s="136"/>
      <c r="AK70" s="136"/>
      <c r="AL70" s="136"/>
      <c r="AM70" s="136"/>
      <c r="AN70" s="136"/>
      <c r="AO70" s="136"/>
      <c r="AP70" s="136"/>
      <c r="AQ70" s="136"/>
      <c r="AR70" s="136"/>
      <c r="AS70" s="136"/>
      <c r="AT70" s="136"/>
      <c r="AU70" s="136"/>
      <c r="AV70" s="136"/>
      <c r="AW70" s="136"/>
      <c r="AX70" s="136"/>
      <c r="AY70" s="136"/>
      <c r="AZ70" s="136"/>
      <c r="BA70" s="136"/>
      <c r="BB70" s="136"/>
      <c r="BC70" s="136"/>
      <c r="BD70" s="136"/>
      <c r="BE70" s="136"/>
      <c r="BF70" s="136"/>
      <c r="BG70" s="136"/>
      <c r="BH70" s="136"/>
      <c r="BI70" s="136"/>
      <c r="BK70" s="136"/>
      <c r="BL70" s="136"/>
      <c r="BM70" s="136"/>
      <c r="BN70" s="136"/>
      <c r="BO70" s="136"/>
      <c r="BP70" s="136"/>
      <c r="BQ70" s="136"/>
      <c r="BR70" s="136"/>
      <c r="BS70" s="136"/>
      <c r="BT70" s="136"/>
      <c r="BU70" s="136"/>
      <c r="BV70" s="136"/>
      <c r="BW70" s="136"/>
      <c r="BX70" s="136"/>
      <c r="BY70" s="136"/>
      <c r="BZ70" s="136"/>
      <c r="CA70" s="136"/>
      <c r="CB70" s="136"/>
      <c r="CC70" s="136"/>
      <c r="CD70" s="136"/>
      <c r="CE70" s="136"/>
      <c r="CF70" s="136"/>
      <c r="CG70" s="136"/>
      <c r="CH70" s="136"/>
      <c r="CI70" s="136"/>
      <c r="CJ70" s="136"/>
      <c r="CK70" s="136"/>
      <c r="CL70" s="136"/>
      <c r="CM70" s="136"/>
      <c r="CN70" s="136"/>
      <c r="CO70" s="136"/>
      <c r="CP70" s="136"/>
      <c r="CQ70" s="136"/>
      <c r="CR70" s="136"/>
      <c r="CS70" s="136"/>
      <c r="CT70" s="136"/>
      <c r="CU70" s="136"/>
      <c r="CV70" s="136"/>
      <c r="CW70" s="136"/>
      <c r="CX70" s="136"/>
      <c r="CY70" s="136"/>
      <c r="CZ70" s="136"/>
      <c r="DA70" s="136"/>
      <c r="DB70" s="136"/>
      <c r="DC70" s="136"/>
      <c r="DD70" s="136"/>
      <c r="DE70" s="136"/>
      <c r="DF70" s="136"/>
      <c r="DG70" s="136"/>
      <c r="DH70" s="136"/>
      <c r="DI70" s="136"/>
      <c r="DJ70" s="136"/>
      <c r="DK70" s="136"/>
      <c r="DL70" s="136"/>
      <c r="DM70" s="136"/>
      <c r="DN70" s="136"/>
      <c r="DO70" s="136"/>
      <c r="DP70" s="136"/>
      <c r="DQ70" s="136"/>
      <c r="DR70" s="136"/>
      <c r="DS70" s="136"/>
      <c r="DT70" s="136"/>
      <c r="DU70" s="136"/>
      <c r="DV70" s="136"/>
      <c r="DW70" s="136"/>
      <c r="DX70" s="136"/>
      <c r="DY70" s="136"/>
      <c r="DZ70" s="136"/>
      <c r="EA70" s="136"/>
      <c r="EB70" s="136"/>
      <c r="EC70" s="136"/>
      <c r="ED70" s="136"/>
      <c r="EE70" s="136"/>
      <c r="EF70" s="136"/>
      <c r="EG70" s="136"/>
      <c r="EH70" s="136"/>
      <c r="EI70" s="136"/>
      <c r="EJ70" s="136"/>
      <c r="EK70" s="136"/>
      <c r="EL70" s="136"/>
      <c r="EM70" s="136"/>
      <c r="EN70" s="136"/>
      <c r="EO70" s="136"/>
      <c r="EP70" s="136"/>
      <c r="EQ70" s="136"/>
      <c r="ER70" s="136"/>
      <c r="ES70" s="136"/>
      <c r="ET70" s="136"/>
      <c r="EU70" s="136"/>
      <c r="EV70" s="136"/>
      <c r="EW70" s="136"/>
      <c r="EX70" s="136"/>
      <c r="EY70" s="136"/>
      <c r="EZ70" s="136"/>
      <c r="FA70" s="136"/>
      <c r="FB70" s="136"/>
      <c r="FC70" s="136"/>
      <c r="FD70" s="136"/>
      <c r="FE70" s="136"/>
      <c r="FF70" s="136"/>
      <c r="FG70" s="136"/>
      <c r="FH70" s="136"/>
      <c r="FI70" s="136"/>
      <c r="FJ70" s="136"/>
      <c r="FK70" s="136"/>
      <c r="FL70" s="136"/>
      <c r="FM70" s="136"/>
      <c r="FN70" s="136"/>
      <c r="FO70" s="136"/>
      <c r="FP70" s="136"/>
      <c r="FQ70" s="136"/>
      <c r="FR70" s="136"/>
      <c r="FS70" s="136"/>
      <c r="FT70" s="136"/>
      <c r="FU70" s="136"/>
      <c r="FV70" s="136"/>
      <c r="FW70" s="136"/>
      <c r="FX70" s="136"/>
      <c r="FY70" s="136"/>
      <c r="FZ70" s="136"/>
      <c r="GA70" s="136"/>
      <c r="GB70" s="136"/>
      <c r="GC70" s="136"/>
      <c r="GD70" s="136"/>
      <c r="GE70" s="136"/>
      <c r="GF70" s="136"/>
    </row>
    <row r="71" spans="1:188" ht="12">
      <c r="A71" s="136"/>
      <c r="B71" s="136"/>
      <c r="C71" s="136"/>
      <c r="D71" s="136"/>
      <c r="E71" s="136"/>
      <c r="F71" s="136"/>
      <c r="G71" s="136"/>
      <c r="H71" s="136"/>
      <c r="I71" s="136"/>
      <c r="J71" s="136"/>
      <c r="K71" s="136"/>
      <c r="L71" s="136"/>
      <c r="M71" s="136"/>
      <c r="N71" s="136"/>
      <c r="O71" s="136"/>
      <c r="P71" s="136"/>
      <c r="Q71" s="136"/>
      <c r="R71" s="136"/>
      <c r="S71" s="136"/>
      <c r="T71" s="136"/>
      <c r="U71" s="136"/>
      <c r="V71" s="136"/>
      <c r="W71" s="136"/>
      <c r="X71" s="136"/>
      <c r="Y71" s="136"/>
      <c r="Z71" s="136"/>
      <c r="AA71" s="136"/>
      <c r="AB71" s="136"/>
      <c r="AC71" s="136"/>
      <c r="AD71" s="136"/>
      <c r="AE71" s="136"/>
      <c r="AF71" s="136"/>
      <c r="AG71" s="136"/>
      <c r="AH71" s="136"/>
      <c r="AI71" s="136"/>
      <c r="AJ71" s="136"/>
      <c r="AK71" s="136"/>
      <c r="AL71" s="136"/>
      <c r="AM71" s="136"/>
      <c r="AN71" s="136"/>
      <c r="AO71" s="136"/>
      <c r="AP71" s="136"/>
      <c r="AQ71" s="136"/>
      <c r="AR71" s="136"/>
      <c r="AS71" s="136"/>
      <c r="AT71" s="136"/>
      <c r="AU71" s="136"/>
      <c r="AV71" s="136"/>
      <c r="AW71" s="136"/>
      <c r="AX71" s="136"/>
      <c r="AY71" s="136"/>
      <c r="AZ71" s="136"/>
      <c r="BA71" s="136"/>
      <c r="BB71" s="136"/>
      <c r="BC71" s="136"/>
      <c r="BD71" s="136"/>
      <c r="BE71" s="136"/>
      <c r="BF71" s="136"/>
      <c r="BG71" s="136"/>
      <c r="BH71" s="136"/>
      <c r="BI71" s="136"/>
      <c r="BK71" s="136"/>
      <c r="BL71" s="136"/>
      <c r="BM71" s="136"/>
      <c r="BN71" s="136"/>
      <c r="BO71" s="136"/>
      <c r="BP71" s="136"/>
      <c r="BQ71" s="136"/>
      <c r="BR71" s="136"/>
      <c r="BS71" s="136"/>
      <c r="BT71" s="136"/>
      <c r="BU71" s="136"/>
      <c r="BV71" s="136"/>
      <c r="BW71" s="136"/>
      <c r="BX71" s="136"/>
      <c r="BY71" s="136"/>
      <c r="BZ71" s="136"/>
      <c r="CA71" s="136"/>
      <c r="CB71" s="136"/>
      <c r="CC71" s="136"/>
      <c r="CD71" s="136"/>
      <c r="CE71" s="136"/>
      <c r="CF71" s="136"/>
      <c r="CG71" s="136"/>
      <c r="CH71" s="136"/>
      <c r="CI71" s="136"/>
      <c r="CJ71" s="136"/>
      <c r="CK71" s="136"/>
      <c r="CL71" s="136"/>
      <c r="CM71" s="136"/>
      <c r="CN71" s="136"/>
      <c r="CO71" s="136"/>
      <c r="CP71" s="136"/>
      <c r="CQ71" s="136"/>
      <c r="CR71" s="136"/>
      <c r="CS71" s="136"/>
      <c r="CT71" s="136"/>
      <c r="CU71" s="136"/>
      <c r="CV71" s="136"/>
      <c r="CW71" s="136"/>
      <c r="CX71" s="136"/>
      <c r="CY71" s="136"/>
      <c r="CZ71" s="136"/>
      <c r="DA71" s="136"/>
      <c r="DB71" s="136"/>
      <c r="DC71" s="136"/>
      <c r="DD71" s="136"/>
      <c r="DE71" s="136"/>
      <c r="DF71" s="136"/>
      <c r="DG71" s="136"/>
      <c r="DH71" s="136"/>
      <c r="DI71" s="136"/>
      <c r="DJ71" s="136"/>
      <c r="DK71" s="136"/>
      <c r="DL71" s="136"/>
      <c r="DM71" s="136"/>
      <c r="DN71" s="136"/>
      <c r="DO71" s="136"/>
      <c r="DP71" s="136"/>
      <c r="DQ71" s="136"/>
      <c r="DR71" s="136"/>
      <c r="DS71" s="136"/>
      <c r="DT71" s="136"/>
      <c r="DU71" s="136"/>
      <c r="DV71" s="136"/>
      <c r="DW71" s="136"/>
      <c r="DX71" s="136"/>
      <c r="DY71" s="136"/>
      <c r="DZ71" s="136"/>
      <c r="EA71" s="136"/>
      <c r="EB71" s="136"/>
      <c r="EC71" s="136"/>
      <c r="ED71" s="136"/>
      <c r="EE71" s="136"/>
      <c r="EF71" s="136"/>
      <c r="EG71" s="136"/>
      <c r="EH71" s="136"/>
      <c r="EI71" s="136"/>
      <c r="EJ71" s="136"/>
      <c r="EK71" s="136"/>
      <c r="EL71" s="136"/>
      <c r="EM71" s="136"/>
      <c r="EN71" s="136"/>
      <c r="EO71" s="136"/>
      <c r="EP71" s="136"/>
      <c r="EQ71" s="136"/>
      <c r="ER71" s="136"/>
      <c r="ES71" s="136"/>
      <c r="ET71" s="136"/>
      <c r="EU71" s="136"/>
      <c r="EV71" s="136"/>
      <c r="EW71" s="136"/>
      <c r="EX71" s="136"/>
      <c r="EY71" s="136"/>
      <c r="EZ71" s="136"/>
      <c r="FA71" s="136"/>
      <c r="FB71" s="136"/>
      <c r="FC71" s="136"/>
      <c r="FD71" s="136"/>
      <c r="FE71" s="136"/>
      <c r="FF71" s="136"/>
      <c r="FG71" s="136"/>
      <c r="FH71" s="136"/>
      <c r="FI71" s="136"/>
      <c r="FJ71" s="136"/>
      <c r="FK71" s="136"/>
      <c r="FL71" s="136"/>
      <c r="FM71" s="136"/>
      <c r="FN71" s="136"/>
      <c r="FO71" s="136"/>
      <c r="FP71" s="136"/>
      <c r="FQ71" s="136"/>
      <c r="FR71" s="136"/>
      <c r="FS71" s="136"/>
      <c r="FT71" s="136"/>
      <c r="FU71" s="136"/>
      <c r="FV71" s="136"/>
      <c r="FW71" s="136"/>
      <c r="FX71" s="136"/>
      <c r="FY71" s="136"/>
      <c r="FZ71" s="136"/>
      <c r="GA71" s="136"/>
      <c r="GB71" s="136"/>
      <c r="GC71" s="136"/>
      <c r="GD71" s="136"/>
      <c r="GE71" s="136"/>
      <c r="GF71" s="136"/>
    </row>
    <row r="72" spans="1:188" ht="12">
      <c r="A72" s="136"/>
      <c r="B72" s="136"/>
      <c r="C72" s="136"/>
      <c r="D72" s="136"/>
      <c r="E72" s="136"/>
      <c r="F72" s="136"/>
      <c r="G72" s="136"/>
      <c r="H72" s="136"/>
      <c r="I72" s="136"/>
      <c r="J72" s="136"/>
      <c r="K72" s="136"/>
      <c r="L72" s="136"/>
      <c r="M72" s="136"/>
      <c r="N72" s="136"/>
      <c r="O72" s="136"/>
      <c r="P72" s="136"/>
      <c r="Q72" s="136"/>
      <c r="R72" s="136"/>
      <c r="S72" s="136"/>
      <c r="T72" s="136"/>
      <c r="U72" s="136"/>
      <c r="V72" s="136"/>
      <c r="W72" s="136"/>
      <c r="X72" s="136"/>
      <c r="Y72" s="136"/>
      <c r="Z72" s="136"/>
      <c r="AA72" s="136"/>
      <c r="AB72" s="136"/>
      <c r="AC72" s="136"/>
      <c r="AD72" s="136"/>
      <c r="AE72" s="136"/>
      <c r="AF72" s="136"/>
      <c r="AG72" s="136"/>
      <c r="AH72" s="136"/>
      <c r="AI72" s="136"/>
      <c r="AJ72" s="136"/>
      <c r="AK72" s="136"/>
      <c r="AL72" s="136"/>
      <c r="AM72" s="136"/>
      <c r="AN72" s="136"/>
      <c r="AO72" s="136"/>
      <c r="AP72" s="136"/>
      <c r="AQ72" s="136"/>
      <c r="AR72" s="136"/>
      <c r="AS72" s="136"/>
      <c r="AT72" s="136"/>
      <c r="AU72" s="136"/>
      <c r="AV72" s="136"/>
      <c r="AW72" s="136"/>
      <c r="AX72" s="136"/>
      <c r="AY72" s="136"/>
      <c r="AZ72" s="136"/>
      <c r="BA72" s="136"/>
      <c r="BB72" s="136"/>
      <c r="BC72" s="136"/>
      <c r="BD72" s="136"/>
      <c r="BE72" s="136"/>
      <c r="BF72" s="136"/>
      <c r="BG72" s="136"/>
      <c r="BH72" s="136"/>
      <c r="BI72" s="136"/>
      <c r="BK72" s="136"/>
      <c r="BL72" s="136"/>
      <c r="BM72" s="136"/>
      <c r="BN72" s="136"/>
      <c r="BO72" s="136"/>
      <c r="BP72" s="136"/>
      <c r="BQ72" s="136"/>
      <c r="BR72" s="136"/>
      <c r="BS72" s="136"/>
      <c r="BT72" s="136"/>
      <c r="BU72" s="136"/>
      <c r="BV72" s="136"/>
      <c r="BW72" s="136"/>
      <c r="BX72" s="136"/>
      <c r="BY72" s="136"/>
      <c r="BZ72" s="136"/>
      <c r="CA72" s="136"/>
      <c r="CB72" s="136"/>
      <c r="CC72" s="136"/>
      <c r="CD72" s="136"/>
      <c r="CE72" s="136"/>
      <c r="CF72" s="136"/>
      <c r="CG72" s="136"/>
      <c r="CH72" s="136"/>
      <c r="CI72" s="136"/>
      <c r="CJ72" s="136"/>
      <c r="CK72" s="136"/>
      <c r="CL72" s="136"/>
      <c r="CM72" s="136"/>
      <c r="CN72" s="136"/>
      <c r="CO72" s="136"/>
      <c r="CP72" s="136"/>
      <c r="CQ72" s="136"/>
      <c r="CR72" s="136"/>
      <c r="CS72" s="136"/>
      <c r="CT72" s="136"/>
      <c r="CU72" s="136"/>
      <c r="CV72" s="136"/>
      <c r="CW72" s="136"/>
      <c r="CX72" s="136"/>
      <c r="CY72" s="136"/>
      <c r="CZ72" s="136"/>
      <c r="DA72" s="136"/>
      <c r="DB72" s="136"/>
      <c r="DC72" s="136"/>
      <c r="DD72" s="136"/>
      <c r="DE72" s="136"/>
      <c r="DF72" s="136"/>
      <c r="DG72" s="136"/>
      <c r="DH72" s="136"/>
      <c r="DI72" s="136"/>
      <c r="DJ72" s="136"/>
      <c r="DK72" s="136"/>
      <c r="DL72" s="136"/>
      <c r="DM72" s="136"/>
      <c r="DN72" s="136"/>
      <c r="DO72" s="136"/>
      <c r="DP72" s="136"/>
      <c r="DQ72" s="136"/>
      <c r="DR72" s="136"/>
      <c r="DS72" s="136"/>
      <c r="DT72" s="136"/>
      <c r="DU72" s="136"/>
      <c r="DV72" s="136"/>
      <c r="DW72" s="136"/>
      <c r="DX72" s="136"/>
      <c r="DY72" s="136"/>
      <c r="DZ72" s="136"/>
      <c r="EA72" s="136"/>
      <c r="EB72" s="136"/>
      <c r="EC72" s="136"/>
      <c r="ED72" s="136"/>
      <c r="EE72" s="136"/>
      <c r="EF72" s="136"/>
      <c r="EG72" s="136"/>
      <c r="EH72" s="136"/>
      <c r="EI72" s="136"/>
      <c r="EJ72" s="136"/>
      <c r="EK72" s="136"/>
      <c r="EL72" s="136"/>
      <c r="EM72" s="136"/>
      <c r="EN72" s="136"/>
      <c r="EO72" s="136"/>
      <c r="EP72" s="136"/>
      <c r="EQ72" s="136"/>
      <c r="ER72" s="136"/>
      <c r="ES72" s="136"/>
      <c r="ET72" s="136"/>
      <c r="EU72" s="136"/>
      <c r="EV72" s="136"/>
      <c r="EW72" s="136"/>
      <c r="EX72" s="136"/>
      <c r="EY72" s="136"/>
      <c r="EZ72" s="136"/>
      <c r="FA72" s="136"/>
      <c r="FB72" s="136"/>
      <c r="FC72" s="136"/>
      <c r="FD72" s="136"/>
      <c r="FE72" s="136"/>
      <c r="FF72" s="136"/>
      <c r="FG72" s="136"/>
      <c r="FH72" s="136"/>
      <c r="FI72" s="136"/>
      <c r="FJ72" s="136"/>
      <c r="FK72" s="136"/>
      <c r="FL72" s="136"/>
      <c r="FM72" s="136"/>
      <c r="FN72" s="136"/>
      <c r="FO72" s="136"/>
      <c r="FP72" s="136"/>
      <c r="FQ72" s="136"/>
      <c r="FR72" s="136"/>
      <c r="FS72" s="136"/>
      <c r="FT72" s="136"/>
      <c r="FU72" s="136"/>
      <c r="FV72" s="136"/>
      <c r="FW72" s="136"/>
      <c r="FX72" s="136"/>
      <c r="FY72" s="136"/>
      <c r="FZ72" s="136"/>
      <c r="GA72" s="136"/>
      <c r="GB72" s="136"/>
      <c r="GC72" s="136"/>
      <c r="GD72" s="136"/>
      <c r="GE72" s="136"/>
      <c r="GF72" s="136"/>
    </row>
    <row r="73" spans="1:188" ht="12">
      <c r="A73" s="136"/>
      <c r="B73" s="136"/>
      <c r="C73" s="136"/>
      <c r="D73" s="136"/>
      <c r="E73" s="136"/>
      <c r="F73" s="136"/>
      <c r="G73" s="136"/>
      <c r="H73" s="136"/>
      <c r="I73" s="136"/>
      <c r="J73" s="136"/>
      <c r="K73" s="136"/>
      <c r="L73" s="136"/>
      <c r="M73" s="136"/>
      <c r="N73" s="136"/>
      <c r="O73" s="136"/>
      <c r="P73" s="136"/>
      <c r="Q73" s="136"/>
      <c r="R73" s="136"/>
      <c r="S73" s="136"/>
      <c r="T73" s="136"/>
      <c r="U73" s="136"/>
      <c r="V73" s="136"/>
      <c r="W73" s="136"/>
      <c r="X73" s="136"/>
      <c r="Y73" s="136"/>
      <c r="Z73" s="136"/>
      <c r="AA73" s="136"/>
      <c r="AB73" s="136"/>
      <c r="AC73" s="136"/>
      <c r="AD73" s="136"/>
      <c r="AE73" s="136"/>
      <c r="AF73" s="136"/>
      <c r="AG73" s="136"/>
      <c r="AH73" s="136"/>
      <c r="AI73" s="136"/>
      <c r="AJ73" s="136"/>
      <c r="AK73" s="136"/>
      <c r="AL73" s="136"/>
      <c r="AM73" s="136"/>
      <c r="AN73" s="136"/>
      <c r="AO73" s="136"/>
      <c r="AP73" s="136"/>
      <c r="AQ73" s="136"/>
      <c r="AR73" s="136"/>
      <c r="AS73" s="136"/>
      <c r="AT73" s="136"/>
      <c r="AU73" s="136"/>
      <c r="AV73" s="136"/>
      <c r="AW73" s="136"/>
      <c r="AX73" s="136"/>
      <c r="AY73" s="136"/>
      <c r="AZ73" s="136"/>
      <c r="BA73" s="136"/>
      <c r="BB73" s="136"/>
      <c r="BC73" s="136"/>
      <c r="BD73" s="136"/>
      <c r="BE73" s="136"/>
      <c r="BF73" s="136"/>
      <c r="BG73" s="136"/>
      <c r="BH73" s="136"/>
      <c r="BI73" s="136"/>
      <c r="BK73" s="136"/>
      <c r="BL73" s="136"/>
      <c r="BM73" s="136"/>
      <c r="BN73" s="136"/>
      <c r="BO73" s="136"/>
      <c r="BP73" s="136"/>
      <c r="BQ73" s="136"/>
      <c r="BR73" s="136"/>
      <c r="BS73" s="136"/>
      <c r="BT73" s="136"/>
      <c r="BU73" s="136"/>
      <c r="BV73" s="136"/>
      <c r="BW73" s="136"/>
      <c r="BX73" s="136"/>
      <c r="BY73" s="136"/>
      <c r="BZ73" s="136"/>
      <c r="CA73" s="136"/>
      <c r="CB73" s="136"/>
      <c r="CC73" s="136"/>
      <c r="CD73" s="136"/>
      <c r="CE73" s="136"/>
      <c r="CF73" s="136"/>
      <c r="CG73" s="136"/>
      <c r="CH73" s="136"/>
      <c r="CI73" s="136"/>
      <c r="CJ73" s="136"/>
      <c r="CK73" s="136"/>
      <c r="CL73" s="136"/>
      <c r="CM73" s="136"/>
      <c r="CN73" s="136"/>
      <c r="CO73" s="136"/>
      <c r="CP73" s="136"/>
      <c r="CQ73" s="136"/>
      <c r="CR73" s="136"/>
      <c r="CS73" s="136"/>
      <c r="CT73" s="136"/>
      <c r="CU73" s="136"/>
      <c r="CV73" s="136"/>
      <c r="CW73" s="136"/>
      <c r="CX73" s="136"/>
      <c r="CY73" s="136"/>
      <c r="CZ73" s="136"/>
      <c r="DA73" s="136"/>
      <c r="DB73" s="136"/>
      <c r="DC73" s="136"/>
      <c r="DD73" s="136"/>
      <c r="DE73" s="136"/>
      <c r="DF73" s="136"/>
      <c r="DG73" s="136"/>
      <c r="DH73" s="136"/>
      <c r="DI73" s="136"/>
      <c r="DJ73" s="136"/>
      <c r="DK73" s="136"/>
      <c r="DL73" s="136"/>
      <c r="DM73" s="136"/>
      <c r="DN73" s="136"/>
      <c r="DO73" s="136"/>
      <c r="DP73" s="136"/>
      <c r="DQ73" s="136"/>
      <c r="DR73" s="136"/>
      <c r="DS73" s="136"/>
      <c r="DT73" s="136"/>
      <c r="DU73" s="136"/>
      <c r="DV73" s="136"/>
      <c r="DW73" s="136"/>
      <c r="DX73" s="136"/>
      <c r="DY73" s="136"/>
      <c r="DZ73" s="136"/>
      <c r="EA73" s="136"/>
      <c r="EB73" s="136"/>
      <c r="EC73" s="136"/>
      <c r="ED73" s="136"/>
      <c r="EE73" s="136"/>
      <c r="EF73" s="136"/>
      <c r="EG73" s="136"/>
      <c r="EH73" s="136"/>
      <c r="EI73" s="136"/>
      <c r="EJ73" s="136"/>
      <c r="EK73" s="136"/>
      <c r="EL73" s="136"/>
      <c r="EM73" s="136"/>
      <c r="EN73" s="136"/>
      <c r="EO73" s="136"/>
      <c r="EP73" s="136"/>
      <c r="EQ73" s="136"/>
      <c r="ER73" s="136"/>
      <c r="ES73" s="136"/>
      <c r="ET73" s="136"/>
      <c r="EU73" s="136"/>
      <c r="EV73" s="136"/>
      <c r="EW73" s="136"/>
      <c r="EX73" s="136"/>
      <c r="EY73" s="136"/>
      <c r="EZ73" s="136"/>
      <c r="FA73" s="136"/>
      <c r="FB73" s="136"/>
      <c r="FC73" s="136"/>
      <c r="FD73" s="136"/>
      <c r="FE73" s="136"/>
      <c r="FF73" s="136"/>
      <c r="FG73" s="136"/>
      <c r="FH73" s="136"/>
      <c r="FI73" s="136"/>
      <c r="FJ73" s="136"/>
      <c r="FK73" s="136"/>
      <c r="FL73" s="136"/>
      <c r="FM73" s="136"/>
      <c r="FN73" s="136"/>
      <c r="FO73" s="136"/>
      <c r="FP73" s="136"/>
      <c r="FQ73" s="136"/>
      <c r="FR73" s="136"/>
      <c r="FS73" s="136"/>
      <c r="FT73" s="136"/>
      <c r="FU73" s="136"/>
      <c r="FV73" s="136"/>
      <c r="FW73" s="136"/>
      <c r="FX73" s="136"/>
      <c r="FY73" s="136"/>
      <c r="FZ73" s="136"/>
      <c r="GA73" s="136"/>
      <c r="GB73" s="136"/>
      <c r="GC73" s="136"/>
      <c r="GD73" s="136"/>
      <c r="GE73" s="136"/>
      <c r="GF73" s="136"/>
    </row>
  </sheetData>
  <sheetProtection/>
  <printOptions/>
  <pageMargins left="0.7480314960629921" right="0.7480314960629921" top="1.35" bottom="0.5" header="0.67" footer="0.31496062992125984"/>
  <pageSetup horizontalDpi="600" verticalDpi="600" orientation="portrait" paperSize="9" r:id="rId1"/>
  <headerFooter alignWithMargins="0">
    <oddHeader>&amp;C&amp;"Times New Roman,Bold"&amp;14 3.1. EFNAHAGSREIKNINGUR 31.12.1999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P70"/>
  <sheetViews>
    <sheetView zoomScalePageLayoutView="0" workbookViewId="0" topLeftCell="A1">
      <pane xSplit="3765" ySplit="1725" topLeftCell="A1" activePane="bottomRight" state="split"/>
      <selection pane="topLeft" activeCell="A4" sqref="A4:IV4"/>
      <selection pane="topRight" activeCell="B1" sqref="B1:BI3"/>
      <selection pane="bottomLeft" activeCell="Y1" sqref="Y1:Y4"/>
      <selection pane="bottomRight" activeCell="A4" sqref="A4"/>
    </sheetView>
  </sheetViews>
  <sheetFormatPr defaultColWidth="9.00390625" defaultRowHeight="12.75"/>
  <cols>
    <col min="1" max="1" width="26.25390625" style="0" customWidth="1"/>
    <col min="63" max="63" width="9.50390625" style="0" customWidth="1"/>
    <col min="64" max="64" width="3.125" style="0" customWidth="1"/>
    <col min="65" max="65" width="9.75390625" style="0" customWidth="1"/>
    <col min="66" max="66" width="9.875" style="0" customWidth="1"/>
    <col min="67" max="67" width="2.25390625" style="0" customWidth="1"/>
  </cols>
  <sheetData>
    <row r="1" spans="1:68" ht="12.75">
      <c r="A1" s="25" t="s">
        <v>11</v>
      </c>
      <c r="B1" s="52" t="s">
        <v>0</v>
      </c>
      <c r="C1" s="52" t="s">
        <v>0</v>
      </c>
      <c r="D1" s="52" t="s">
        <v>0</v>
      </c>
      <c r="E1" s="52" t="s">
        <v>1</v>
      </c>
      <c r="F1" s="52" t="s">
        <v>0</v>
      </c>
      <c r="G1" s="52" t="s">
        <v>0</v>
      </c>
      <c r="H1" s="52" t="s">
        <v>2</v>
      </c>
      <c r="I1" s="52" t="s">
        <v>0</v>
      </c>
      <c r="J1" s="52" t="s">
        <v>3</v>
      </c>
      <c r="K1" s="52" t="s">
        <v>0</v>
      </c>
      <c r="L1" s="52" t="s">
        <v>0</v>
      </c>
      <c r="M1" s="52" t="s">
        <v>0</v>
      </c>
      <c r="N1" s="52" t="s">
        <v>0</v>
      </c>
      <c r="O1" s="52" t="s">
        <v>0</v>
      </c>
      <c r="P1" s="53" t="s">
        <v>0</v>
      </c>
      <c r="Q1" s="52" t="s">
        <v>0</v>
      </c>
      <c r="R1" s="52" t="s">
        <v>0</v>
      </c>
      <c r="S1" s="52" t="s">
        <v>5</v>
      </c>
      <c r="T1" s="52" t="s">
        <v>0</v>
      </c>
      <c r="U1" s="52" t="s">
        <v>7</v>
      </c>
      <c r="V1" s="52" t="s">
        <v>0</v>
      </c>
      <c r="W1" s="52" t="s">
        <v>418</v>
      </c>
      <c r="X1" s="52" t="s">
        <v>0</v>
      </c>
      <c r="Y1" s="52" t="s">
        <v>6</v>
      </c>
      <c r="Z1" s="52" t="s">
        <v>0</v>
      </c>
      <c r="AA1" s="52" t="s">
        <v>0</v>
      </c>
      <c r="AB1" s="52" t="s">
        <v>8</v>
      </c>
      <c r="AC1" s="52" t="s">
        <v>0</v>
      </c>
      <c r="AD1" s="52" t="s">
        <v>0</v>
      </c>
      <c r="AE1" s="52" t="s">
        <v>6</v>
      </c>
      <c r="AF1" s="52" t="s">
        <v>0</v>
      </c>
      <c r="AG1" s="52" t="s">
        <v>0</v>
      </c>
      <c r="AH1" s="52" t="s">
        <v>4</v>
      </c>
      <c r="AI1" s="52" t="s">
        <v>0</v>
      </c>
      <c r="AJ1" s="52" t="s">
        <v>0</v>
      </c>
      <c r="AK1" s="52" t="s">
        <v>0</v>
      </c>
      <c r="AL1" s="52" t="s">
        <v>0</v>
      </c>
      <c r="AM1" s="52" t="s">
        <v>4</v>
      </c>
      <c r="AN1" s="52" t="s">
        <v>0</v>
      </c>
      <c r="AO1" s="52" t="s">
        <v>0</v>
      </c>
      <c r="AP1" s="52" t="s">
        <v>4</v>
      </c>
      <c r="AQ1" s="52" t="s">
        <v>0</v>
      </c>
      <c r="AR1" s="52" t="s">
        <v>54</v>
      </c>
      <c r="AS1" s="52" t="s">
        <v>0</v>
      </c>
      <c r="AT1" s="52" t="s">
        <v>0</v>
      </c>
      <c r="AU1" s="52" t="s">
        <v>0</v>
      </c>
      <c r="AV1" s="52" t="s">
        <v>4</v>
      </c>
      <c r="AW1" s="52" t="s">
        <v>0</v>
      </c>
      <c r="AX1" s="52" t="s">
        <v>4</v>
      </c>
      <c r="AY1" s="52" t="s">
        <v>0</v>
      </c>
      <c r="AZ1" s="52" t="s">
        <v>4</v>
      </c>
      <c r="BA1" s="52" t="s">
        <v>6</v>
      </c>
      <c r="BB1" s="52" t="s">
        <v>0</v>
      </c>
      <c r="BC1" s="52" t="s">
        <v>0</v>
      </c>
      <c r="BD1" s="52" t="s">
        <v>0</v>
      </c>
      <c r="BE1" s="52" t="s">
        <v>4</v>
      </c>
      <c r="BF1" s="52" t="s">
        <v>9</v>
      </c>
      <c r="BG1" s="52" t="s">
        <v>0</v>
      </c>
      <c r="BH1" s="52" t="s">
        <v>0</v>
      </c>
      <c r="BI1" s="52" t="s">
        <v>0</v>
      </c>
      <c r="BK1" s="27" t="s">
        <v>10</v>
      </c>
      <c r="BL1" s="27"/>
      <c r="BM1" s="56" t="s">
        <v>0</v>
      </c>
      <c r="BN1" s="56" t="s">
        <v>0</v>
      </c>
      <c r="BO1" s="27"/>
      <c r="BP1" s="27"/>
    </row>
    <row r="2" spans="1:68" ht="12.75">
      <c r="A2" s="21"/>
      <c r="B2" s="52" t="s">
        <v>12</v>
      </c>
      <c r="C2" s="52" t="s">
        <v>14</v>
      </c>
      <c r="D2" s="52" t="s">
        <v>16</v>
      </c>
      <c r="E2" s="52" t="s">
        <v>15</v>
      </c>
      <c r="F2" s="52" t="s">
        <v>13</v>
      </c>
      <c r="G2" s="52" t="s">
        <v>17</v>
      </c>
      <c r="H2" s="52" t="s">
        <v>15</v>
      </c>
      <c r="I2" s="52" t="s">
        <v>431</v>
      </c>
      <c r="J2" s="52" t="s">
        <v>15</v>
      </c>
      <c r="K2" s="52" t="s">
        <v>352</v>
      </c>
      <c r="L2" s="52" t="s">
        <v>19</v>
      </c>
      <c r="M2" s="52" t="s">
        <v>20</v>
      </c>
      <c r="N2" s="52" t="s">
        <v>18</v>
      </c>
      <c r="O2" s="52" t="s">
        <v>22</v>
      </c>
      <c r="P2" s="53" t="s">
        <v>443</v>
      </c>
      <c r="Q2" s="52" t="s">
        <v>21</v>
      </c>
      <c r="R2" s="52" t="s">
        <v>23</v>
      </c>
      <c r="S2" s="52" t="s">
        <v>15</v>
      </c>
      <c r="T2" s="52" t="s">
        <v>24</v>
      </c>
      <c r="U2" s="52" t="s">
        <v>30</v>
      </c>
      <c r="V2" s="52" t="s">
        <v>25</v>
      </c>
      <c r="W2" s="52" t="s">
        <v>49</v>
      </c>
      <c r="X2" s="52" t="s">
        <v>14</v>
      </c>
      <c r="Y2" s="52" t="s">
        <v>29</v>
      </c>
      <c r="Z2" s="52" t="s">
        <v>433</v>
      </c>
      <c r="AA2" s="52" t="s">
        <v>76</v>
      </c>
      <c r="AB2" s="52" t="s">
        <v>15</v>
      </c>
      <c r="AC2" s="52" t="s">
        <v>26</v>
      </c>
      <c r="AD2" s="52" t="s">
        <v>14</v>
      </c>
      <c r="AE2" s="52" t="s">
        <v>29</v>
      </c>
      <c r="AF2" s="52" t="s">
        <v>27</v>
      </c>
      <c r="AG2" s="52" t="s">
        <v>28</v>
      </c>
      <c r="AH2" s="52" t="s">
        <v>14</v>
      </c>
      <c r="AI2" s="52" t="s">
        <v>32</v>
      </c>
      <c r="AJ2" s="52" t="s">
        <v>31</v>
      </c>
      <c r="AK2" s="52" t="s">
        <v>33</v>
      </c>
      <c r="AL2" s="52" t="s">
        <v>35</v>
      </c>
      <c r="AM2" s="52" t="s">
        <v>34</v>
      </c>
      <c r="AN2" s="52" t="s">
        <v>37</v>
      </c>
      <c r="AO2" s="52" t="s">
        <v>36</v>
      </c>
      <c r="AP2" s="52" t="s">
        <v>38</v>
      </c>
      <c r="AQ2" s="52" t="s">
        <v>40</v>
      </c>
      <c r="AR2" s="52" t="s">
        <v>15</v>
      </c>
      <c r="AS2" s="52" t="s">
        <v>39</v>
      </c>
      <c r="AT2" s="52" t="s">
        <v>41</v>
      </c>
      <c r="AU2" s="52" t="s">
        <v>43</v>
      </c>
      <c r="AV2" s="52" t="s">
        <v>42</v>
      </c>
      <c r="AW2" s="52" t="s">
        <v>14</v>
      </c>
      <c r="AX2" s="52" t="s">
        <v>44</v>
      </c>
      <c r="AY2" s="52" t="s">
        <v>14</v>
      </c>
      <c r="AZ2" s="52" t="s">
        <v>413</v>
      </c>
      <c r="BA2" s="52" t="s">
        <v>29</v>
      </c>
      <c r="BB2" s="52" t="s">
        <v>45</v>
      </c>
      <c r="BC2" s="52" t="s">
        <v>46</v>
      </c>
      <c r="BD2" s="52" t="s">
        <v>48</v>
      </c>
      <c r="BE2" s="52" t="s">
        <v>47</v>
      </c>
      <c r="BF2" s="52" t="s">
        <v>49</v>
      </c>
      <c r="BG2" s="52" t="s">
        <v>50</v>
      </c>
      <c r="BH2" s="52" t="s">
        <v>51</v>
      </c>
      <c r="BI2" s="52" t="s">
        <v>52</v>
      </c>
      <c r="BK2" s="27" t="s">
        <v>53</v>
      </c>
      <c r="BL2" s="27"/>
      <c r="BM2" s="56" t="s">
        <v>429</v>
      </c>
      <c r="BN2" s="56" t="s">
        <v>479</v>
      </c>
      <c r="BO2" s="27"/>
      <c r="BP2" s="27"/>
    </row>
    <row r="3" spans="1:68" ht="12.75">
      <c r="A3" s="24"/>
      <c r="B3" s="52" t="s">
        <v>55</v>
      </c>
      <c r="C3" s="52" t="s">
        <v>477</v>
      </c>
      <c r="D3" s="52"/>
      <c r="E3" s="52" t="s">
        <v>29</v>
      </c>
      <c r="F3" s="52"/>
      <c r="G3" s="52" t="s">
        <v>57</v>
      </c>
      <c r="H3" s="52" t="s">
        <v>56</v>
      </c>
      <c r="I3" s="52" t="s">
        <v>70</v>
      </c>
      <c r="J3" s="52" t="s">
        <v>29</v>
      </c>
      <c r="K3" s="52"/>
      <c r="L3" s="52" t="s">
        <v>57</v>
      </c>
      <c r="M3" s="52" t="s">
        <v>58</v>
      </c>
      <c r="N3" s="52"/>
      <c r="O3" s="52"/>
      <c r="P3" s="53" t="s">
        <v>442</v>
      </c>
      <c r="Q3" s="52" t="s">
        <v>59</v>
      </c>
      <c r="R3" s="52" t="s">
        <v>415</v>
      </c>
      <c r="S3" s="52" t="s">
        <v>29</v>
      </c>
      <c r="T3" s="52" t="s">
        <v>57</v>
      </c>
      <c r="U3" s="52" t="s">
        <v>66</v>
      </c>
      <c r="V3" s="52" t="s">
        <v>287</v>
      </c>
      <c r="W3" s="52" t="s">
        <v>419</v>
      </c>
      <c r="X3" s="52" t="s">
        <v>444</v>
      </c>
      <c r="Y3" s="52" t="s">
        <v>82</v>
      </c>
      <c r="Z3" s="52" t="s">
        <v>434</v>
      </c>
      <c r="AA3" s="52"/>
      <c r="AB3" s="52" t="s">
        <v>78</v>
      </c>
      <c r="AC3" s="52" t="s">
        <v>61</v>
      </c>
      <c r="AD3" s="52" t="s">
        <v>62</v>
      </c>
      <c r="AE3" s="52" t="s">
        <v>65</v>
      </c>
      <c r="AF3" s="52"/>
      <c r="AG3" s="52" t="s">
        <v>63</v>
      </c>
      <c r="AH3" s="52" t="s">
        <v>64</v>
      </c>
      <c r="AI3" s="52" t="s">
        <v>68</v>
      </c>
      <c r="AJ3" s="52" t="s">
        <v>67</v>
      </c>
      <c r="AK3" s="52"/>
      <c r="AL3" s="52" t="s">
        <v>70</v>
      </c>
      <c r="AM3" s="52" t="s">
        <v>69</v>
      </c>
      <c r="AN3" s="52" t="s">
        <v>72</v>
      </c>
      <c r="AO3" s="52" t="s">
        <v>71</v>
      </c>
      <c r="AP3" s="52" t="s">
        <v>439</v>
      </c>
      <c r="AQ3" s="52" t="s">
        <v>60</v>
      </c>
      <c r="AR3" s="52" t="s">
        <v>29</v>
      </c>
      <c r="AS3" s="52" t="s">
        <v>74</v>
      </c>
      <c r="AT3" s="52" t="s">
        <v>75</v>
      </c>
      <c r="AU3" s="52" t="s">
        <v>73</v>
      </c>
      <c r="AV3" s="52" t="s">
        <v>76</v>
      </c>
      <c r="AW3" s="52" t="s">
        <v>435</v>
      </c>
      <c r="AX3" s="52" t="s">
        <v>77</v>
      </c>
      <c r="AY3" s="52" t="s">
        <v>79</v>
      </c>
      <c r="AZ3" s="52" t="s">
        <v>81</v>
      </c>
      <c r="BA3" s="52" t="s">
        <v>80</v>
      </c>
      <c r="BB3" s="52" t="s">
        <v>83</v>
      </c>
      <c r="BC3" s="52" t="s">
        <v>84</v>
      </c>
      <c r="BD3" s="52" t="s">
        <v>86</v>
      </c>
      <c r="BE3" s="52" t="s">
        <v>85</v>
      </c>
      <c r="BF3" s="52" t="s">
        <v>87</v>
      </c>
      <c r="BG3" s="52" t="s">
        <v>88</v>
      </c>
      <c r="BH3" s="52" t="s">
        <v>89</v>
      </c>
      <c r="BI3" s="52" t="s">
        <v>90</v>
      </c>
      <c r="BK3" s="27" t="s">
        <v>91</v>
      </c>
      <c r="BL3" s="27"/>
      <c r="BM3" s="56" t="s">
        <v>428</v>
      </c>
      <c r="BN3" s="56" t="s">
        <v>428</v>
      </c>
      <c r="BO3" s="27"/>
      <c r="BP3" s="27"/>
    </row>
    <row r="4" spans="1:68" ht="12.75">
      <c r="A4" s="42"/>
      <c r="B4" s="54" t="s">
        <v>92</v>
      </c>
      <c r="C4" s="54" t="s">
        <v>93</v>
      </c>
      <c r="D4" s="54" t="s">
        <v>94</v>
      </c>
      <c r="E4" s="54" t="s">
        <v>95</v>
      </c>
      <c r="F4" s="54" t="s">
        <v>96</v>
      </c>
      <c r="G4" s="54" t="s">
        <v>97</v>
      </c>
      <c r="H4" s="54" t="s">
        <v>98</v>
      </c>
      <c r="I4" s="54" t="s">
        <v>99</v>
      </c>
      <c r="J4" s="54" t="s">
        <v>283</v>
      </c>
      <c r="K4" s="54" t="s">
        <v>284</v>
      </c>
      <c r="L4" s="54" t="s">
        <v>285</v>
      </c>
      <c r="M4" s="54" t="s">
        <v>100</v>
      </c>
      <c r="N4" s="54" t="s">
        <v>101</v>
      </c>
      <c r="O4" s="54" t="s">
        <v>102</v>
      </c>
      <c r="P4" s="54" t="s">
        <v>103</v>
      </c>
      <c r="Q4" s="54" t="s">
        <v>104</v>
      </c>
      <c r="R4" s="54" t="s">
        <v>105</v>
      </c>
      <c r="S4" s="54" t="s">
        <v>106</v>
      </c>
      <c r="T4" s="54" t="s">
        <v>107</v>
      </c>
      <c r="U4" s="54" t="s">
        <v>108</v>
      </c>
      <c r="V4" s="54" t="s">
        <v>109</v>
      </c>
      <c r="W4" s="54" t="s">
        <v>110</v>
      </c>
      <c r="X4" s="54" t="s">
        <v>111</v>
      </c>
      <c r="Y4" s="54" t="s">
        <v>112</v>
      </c>
      <c r="Z4" s="54" t="s">
        <v>113</v>
      </c>
      <c r="AA4" s="54" t="s">
        <v>498</v>
      </c>
      <c r="AB4" s="54" t="s">
        <v>114</v>
      </c>
      <c r="AC4" s="54" t="s">
        <v>115</v>
      </c>
      <c r="AD4" s="54" t="s">
        <v>116</v>
      </c>
      <c r="AE4" s="54" t="s">
        <v>117</v>
      </c>
      <c r="AF4" s="54" t="s">
        <v>118</v>
      </c>
      <c r="AG4" s="54" t="s">
        <v>119</v>
      </c>
      <c r="AH4" s="54" t="s">
        <v>120</v>
      </c>
      <c r="AI4" s="54" t="s">
        <v>121</v>
      </c>
      <c r="AJ4" s="54" t="s">
        <v>122</v>
      </c>
      <c r="AK4" s="54" t="s">
        <v>123</v>
      </c>
      <c r="AL4" s="54" t="s">
        <v>124</v>
      </c>
      <c r="AM4" s="54" t="s">
        <v>125</v>
      </c>
      <c r="AN4" s="54" t="s">
        <v>126</v>
      </c>
      <c r="AO4" s="54" t="s">
        <v>127</v>
      </c>
      <c r="AP4" s="54" t="s">
        <v>128</v>
      </c>
      <c r="AQ4" s="54" t="s">
        <v>129</v>
      </c>
      <c r="AR4" s="54" t="s">
        <v>130</v>
      </c>
      <c r="AS4" s="54" t="s">
        <v>131</v>
      </c>
      <c r="AT4" s="54" t="s">
        <v>132</v>
      </c>
      <c r="AU4" s="54" t="s">
        <v>133</v>
      </c>
      <c r="AV4" s="54" t="s">
        <v>134</v>
      </c>
      <c r="AW4" s="54" t="s">
        <v>135</v>
      </c>
      <c r="AX4" s="54" t="s">
        <v>136</v>
      </c>
      <c r="AY4" s="54" t="s">
        <v>137</v>
      </c>
      <c r="AZ4" s="54" t="s">
        <v>138</v>
      </c>
      <c r="BA4" s="54" t="s">
        <v>139</v>
      </c>
      <c r="BB4" s="54" t="s">
        <v>289</v>
      </c>
      <c r="BC4" s="54" t="s">
        <v>140</v>
      </c>
      <c r="BD4" s="54" t="s">
        <v>141</v>
      </c>
      <c r="BE4" s="54" t="s">
        <v>142</v>
      </c>
      <c r="BF4" s="54" t="s">
        <v>143</v>
      </c>
      <c r="BG4" s="54" t="s">
        <v>144</v>
      </c>
      <c r="BH4" s="54" t="s">
        <v>550</v>
      </c>
      <c r="BI4" s="54" t="s">
        <v>551</v>
      </c>
      <c r="BK4" s="85"/>
      <c r="BL4" s="85"/>
      <c r="BM4" s="85" t="s">
        <v>540</v>
      </c>
      <c r="BN4" s="85" t="s">
        <v>552</v>
      </c>
      <c r="BO4" s="85"/>
      <c r="BP4" s="85"/>
    </row>
    <row r="5" spans="1:68" ht="12.75">
      <c r="A5" s="26" t="s">
        <v>313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G5" s="3"/>
      <c r="BH5" s="3"/>
      <c r="BI5" s="3"/>
      <c r="BK5" s="15"/>
      <c r="BL5" s="15"/>
      <c r="BM5" s="15"/>
      <c r="BN5" s="15"/>
      <c r="BO5" s="15"/>
      <c r="BP5" s="15"/>
    </row>
    <row r="6" spans="1:68" ht="12.75">
      <c r="A6" s="25" t="s">
        <v>301</v>
      </c>
      <c r="B6" s="2">
        <v>1909316.755</v>
      </c>
      <c r="C6" s="2">
        <v>1802765.75</v>
      </c>
      <c r="D6" s="2">
        <v>839095.968</v>
      </c>
      <c r="E6" s="2">
        <v>784338.397</v>
      </c>
      <c r="F6" s="2">
        <v>680370.399</v>
      </c>
      <c r="G6" s="2">
        <f>373619.477+7007.854</f>
        <v>380627.331</v>
      </c>
      <c r="H6" s="2">
        <f>285374.74+9836.336</f>
        <v>295211.076</v>
      </c>
      <c r="I6" s="2">
        <v>172208.815</v>
      </c>
      <c r="J6" s="2">
        <v>249858.726</v>
      </c>
      <c r="K6" s="2">
        <v>380030.53</v>
      </c>
      <c r="L6" s="2">
        <v>283487.799</v>
      </c>
      <c r="M6" s="2">
        <v>214745.611</v>
      </c>
      <c r="N6" s="2">
        <v>86818.909</v>
      </c>
      <c r="O6" s="2">
        <v>184101.274</v>
      </c>
      <c r="P6" s="2">
        <f>282059.03+29389.959</f>
        <v>311448.989</v>
      </c>
      <c r="Q6" s="2">
        <v>212140.08</v>
      </c>
      <c r="R6" s="2">
        <v>152599.824</v>
      </c>
      <c r="S6" s="2">
        <v>1146942</v>
      </c>
      <c r="T6" s="2">
        <v>150138.596</v>
      </c>
      <c r="U6" s="2">
        <v>522086.132</v>
      </c>
      <c r="V6" s="2">
        <v>75114.704</v>
      </c>
      <c r="W6" s="2">
        <v>57554.616</v>
      </c>
      <c r="X6" s="2">
        <v>24398.099</v>
      </c>
      <c r="Y6" s="2">
        <v>531536</v>
      </c>
      <c r="Z6" s="2">
        <v>162147.275</v>
      </c>
      <c r="AA6" s="2">
        <v>116959.939</v>
      </c>
      <c r="AB6" s="2">
        <v>210953.588</v>
      </c>
      <c r="AC6" s="2">
        <v>71819.765</v>
      </c>
      <c r="AD6" s="2">
        <v>152534.891</v>
      </c>
      <c r="AE6" s="2">
        <f>49055.492+12702.683</f>
        <v>61758.175</v>
      </c>
      <c r="AF6" s="2">
        <v>39074.081</v>
      </c>
      <c r="AG6" s="2">
        <v>0</v>
      </c>
      <c r="AH6" s="2">
        <v>0</v>
      </c>
      <c r="AI6" s="2">
        <v>28673.158</v>
      </c>
      <c r="AJ6" s="2">
        <v>18656.006</v>
      </c>
      <c r="AK6" s="2">
        <v>39754.313</v>
      </c>
      <c r="AL6" s="2">
        <v>31235.06</v>
      </c>
      <c r="AM6" s="2">
        <v>27502.597</v>
      </c>
      <c r="AN6" s="2">
        <v>17285.156</v>
      </c>
      <c r="AO6" s="2">
        <v>0</v>
      </c>
      <c r="AP6" s="2">
        <f>21535.041+9462.549</f>
        <v>30997.590000000004</v>
      </c>
      <c r="AQ6" s="2">
        <f>51350.963+2023.715</f>
        <v>53374.678</v>
      </c>
      <c r="AR6" s="2">
        <v>259772.335</v>
      </c>
      <c r="AS6" s="2">
        <v>21921.057</v>
      </c>
      <c r="AT6" s="2">
        <v>28608.294</v>
      </c>
      <c r="AU6" s="2">
        <v>8952.267</v>
      </c>
      <c r="AV6" s="2">
        <v>0</v>
      </c>
      <c r="AW6" s="2">
        <v>139997.149</v>
      </c>
      <c r="AX6" s="2">
        <v>0</v>
      </c>
      <c r="AY6" s="2">
        <v>0</v>
      </c>
      <c r="AZ6" s="2">
        <v>10652.976</v>
      </c>
      <c r="BA6" s="2">
        <v>0</v>
      </c>
      <c r="BB6" s="2">
        <v>3097.833</v>
      </c>
      <c r="BC6" s="2">
        <v>0</v>
      </c>
      <c r="BD6" s="2">
        <v>1958.891</v>
      </c>
      <c r="BE6" s="2">
        <v>0</v>
      </c>
      <c r="BF6" s="2">
        <v>6854.916</v>
      </c>
      <c r="BG6" s="2">
        <v>4725.91</v>
      </c>
      <c r="BH6" s="2">
        <v>0</v>
      </c>
      <c r="BI6" s="2">
        <v>0</v>
      </c>
      <c r="BK6" s="2">
        <f>SUM(B6:BJ6)</f>
        <v>12996204.28</v>
      </c>
      <c r="BL6" s="2"/>
      <c r="BM6" s="2">
        <f>C6+V6+AD6+AH6+AN6+AP6+AS6+AU6+AW6+AZ6+BB6+BD6+BE6+BG6</f>
        <v>2270004.174</v>
      </c>
      <c r="BN6" s="2">
        <f>B6+D6+E6+F6+G6+H6+I6+J6+K6+L6+M6+N6+O6+P6+Q6+R6+S6+T6+U6+W6+X6+Y6+Z6+AA6+AB6+AC6+AE6+AF6+AG6+AI6+AJ6+AK6+AL6+AM6+AO6+AQ6+AT6+AV6+AX6+AY6+BA6+BC6+BH6+BI6+AR6+BF6</f>
        <v>10726200.105999997</v>
      </c>
      <c r="BO6" s="2"/>
      <c r="BP6" s="41"/>
    </row>
    <row r="7" spans="1:68" ht="12.75">
      <c r="A7" s="25" t="s">
        <v>302</v>
      </c>
      <c r="B7" s="2">
        <v>2863975.132</v>
      </c>
      <c r="C7" s="2">
        <v>3908212.006</v>
      </c>
      <c r="D7" s="2">
        <v>1258643.953</v>
      </c>
      <c r="E7" s="2">
        <v>1145246.251</v>
      </c>
      <c r="F7" s="2">
        <v>1019258.627</v>
      </c>
      <c r="G7" s="2">
        <v>561971.849</v>
      </c>
      <c r="H7" s="2">
        <v>428118.787</v>
      </c>
      <c r="I7" s="2">
        <v>428075.009</v>
      </c>
      <c r="J7" s="2">
        <v>551458.118</v>
      </c>
      <c r="K7" s="2">
        <v>570045.795</v>
      </c>
      <c r="L7" s="2">
        <v>425231.699</v>
      </c>
      <c r="M7" s="2">
        <v>319778.164</v>
      </c>
      <c r="N7" s="2">
        <v>215322.939</v>
      </c>
      <c r="O7" s="2">
        <v>319887.869</v>
      </c>
      <c r="P7" s="2">
        <v>423088.545</v>
      </c>
      <c r="Q7" s="2">
        <v>318210.12</v>
      </c>
      <c r="R7" s="2">
        <v>228899.736</v>
      </c>
      <c r="S7" s="2">
        <v>141061</v>
      </c>
      <c r="T7" s="2">
        <v>224919.051</v>
      </c>
      <c r="U7" s="2">
        <v>968560.285</v>
      </c>
      <c r="V7" s="2">
        <v>119876.905</v>
      </c>
      <c r="W7" s="2">
        <v>230218.466</v>
      </c>
      <c r="X7" s="2">
        <v>87832.324</v>
      </c>
      <c r="Y7" s="2">
        <v>947311</v>
      </c>
      <c r="Z7" s="2">
        <v>226750.53</v>
      </c>
      <c r="AA7" s="2">
        <v>175439.908</v>
      </c>
      <c r="AB7" s="2">
        <v>445692.22</v>
      </c>
      <c r="AC7" s="2">
        <v>107729.647</v>
      </c>
      <c r="AD7" s="2">
        <v>266688.029</v>
      </c>
      <c r="AE7" s="2">
        <v>73641.408</v>
      </c>
      <c r="AF7" s="2">
        <v>58619.785</v>
      </c>
      <c r="AG7" s="2">
        <v>0</v>
      </c>
      <c r="AH7" s="2">
        <v>57431.582</v>
      </c>
      <c r="AI7" s="2">
        <v>43009.736</v>
      </c>
      <c r="AJ7" s="2">
        <v>27984.008</v>
      </c>
      <c r="AK7" s="2">
        <v>59589.845</v>
      </c>
      <c r="AL7" s="2">
        <v>46852.59</v>
      </c>
      <c r="AM7" s="2">
        <v>55921.929</v>
      </c>
      <c r="AN7" s="2">
        <v>25946.733</v>
      </c>
      <c r="AO7" s="2">
        <v>0</v>
      </c>
      <c r="AP7" s="2">
        <f>32557.285+27381.342</f>
        <v>59938.627</v>
      </c>
      <c r="AQ7" s="2">
        <v>0</v>
      </c>
      <c r="AR7" s="2">
        <v>104697.659</v>
      </c>
      <c r="AS7" s="2">
        <v>32881.593</v>
      </c>
      <c r="AT7" s="2">
        <v>42912.441</v>
      </c>
      <c r="AU7" s="2">
        <v>13428.433</v>
      </c>
      <c r="AV7" s="2">
        <v>0</v>
      </c>
      <c r="AW7" s="2">
        <v>358707.414</v>
      </c>
      <c r="AX7" s="2">
        <v>0</v>
      </c>
      <c r="AY7" s="2">
        <v>0</v>
      </c>
      <c r="AZ7" s="2">
        <v>15979.552</v>
      </c>
      <c r="BA7" s="2">
        <v>0</v>
      </c>
      <c r="BB7" s="2">
        <v>4646.763</v>
      </c>
      <c r="BC7" s="2">
        <v>0</v>
      </c>
      <c r="BD7" s="2">
        <v>2938.315</v>
      </c>
      <c r="BE7" s="2">
        <v>0</v>
      </c>
      <c r="BF7" s="2">
        <v>0</v>
      </c>
      <c r="BG7" s="2">
        <v>7088.866</v>
      </c>
      <c r="BH7" s="2">
        <v>0</v>
      </c>
      <c r="BI7" s="2">
        <v>0</v>
      </c>
      <c r="BK7" s="2">
        <f>SUM(B7:BJ7)</f>
        <v>20019721.243</v>
      </c>
      <c r="BL7" s="2"/>
      <c r="BM7" s="2">
        <f aca="true" t="shared" si="0" ref="BM7:BM68">C7+V7+AD7+AH7+AN7+AP7+AS7+AU7+AW7+AZ7+BB7+BD7+BE7+BG7</f>
        <v>4873764.818000002</v>
      </c>
      <c r="BN7" s="2">
        <f>B7+D7+E7+F7+G7+H7+I7+J7+K7+L7+M7+N7+O7+P7+Q7+R7+S7+T7+U7+W7+X7+Y7+Z7+AA7+AB7+AC7+AE7+AF7+AG7+AI7+AJ7+AK7+AL7+AM7+AO7+AQ7+AT7+AV7+AX7+AY7+BA7+BC7+BH7+BI7+AR7+BF7</f>
        <v>15145956.425</v>
      </c>
      <c r="BO7" s="2"/>
      <c r="BP7" s="41"/>
    </row>
    <row r="8" spans="1:68" ht="12.75">
      <c r="A8" s="25" t="s">
        <v>303</v>
      </c>
      <c r="B8" s="2">
        <v>0</v>
      </c>
      <c r="C8" s="2">
        <v>-18899.9</v>
      </c>
      <c r="D8" s="2">
        <v>-625.408</v>
      </c>
      <c r="E8" s="2">
        <v>3104.877</v>
      </c>
      <c r="F8" s="2">
        <v>2988.935</v>
      </c>
      <c r="G8" s="2">
        <v>-2703.503</v>
      </c>
      <c r="H8" s="2">
        <v>-23108.431</v>
      </c>
      <c r="I8" s="2">
        <v>717851.899</v>
      </c>
      <c r="J8" s="2">
        <v>-7483.481</v>
      </c>
      <c r="K8" s="2">
        <v>1095.831</v>
      </c>
      <c r="L8" s="2">
        <v>-10880.256</v>
      </c>
      <c r="M8" s="2">
        <v>-2233.142</v>
      </c>
      <c r="N8" s="2">
        <v>4065.466</v>
      </c>
      <c r="O8" s="2">
        <v>-3916.698</v>
      </c>
      <c r="P8" s="2">
        <v>5378.376</v>
      </c>
      <c r="Q8" s="2">
        <v>-1148.241</v>
      </c>
      <c r="R8" s="2">
        <v>-1248.631</v>
      </c>
      <c r="S8" s="2">
        <v>-144063.777</v>
      </c>
      <c r="T8" s="2">
        <v>-6382.601</v>
      </c>
      <c r="U8" s="2">
        <v>47474.241</v>
      </c>
      <c r="V8" s="2">
        <v>2188.946</v>
      </c>
      <c r="W8" s="2">
        <v>0</v>
      </c>
      <c r="X8" s="2">
        <v>-431941.145</v>
      </c>
      <c r="Y8" s="2">
        <v>-57417</v>
      </c>
      <c r="Z8" s="2">
        <v>241.809</v>
      </c>
      <c r="AA8" s="2">
        <v>-2896.607</v>
      </c>
      <c r="AB8" s="2">
        <v>-27718.063</v>
      </c>
      <c r="AC8" s="2">
        <v>131.945</v>
      </c>
      <c r="AD8" s="2">
        <v>1475.316</v>
      </c>
      <c r="AE8" s="2">
        <v>385.9</v>
      </c>
      <c r="AF8" s="2">
        <v>-637.485</v>
      </c>
      <c r="AG8" s="2">
        <v>-332.049</v>
      </c>
      <c r="AH8" s="2">
        <v>0</v>
      </c>
      <c r="AI8" s="2">
        <v>-1924.573</v>
      </c>
      <c r="AJ8" s="2">
        <v>0</v>
      </c>
      <c r="AK8" s="2">
        <v>-1475.378</v>
      </c>
      <c r="AL8" s="2">
        <v>-4.389</v>
      </c>
      <c r="AM8" s="2">
        <v>-79597.727</v>
      </c>
      <c r="AN8" s="2">
        <v>127.576</v>
      </c>
      <c r="AO8" s="2">
        <v>57.655</v>
      </c>
      <c r="AP8" s="2">
        <v>0</v>
      </c>
      <c r="AQ8" s="2">
        <v>0</v>
      </c>
      <c r="AR8" s="2">
        <v>49075.097</v>
      </c>
      <c r="AS8" s="2">
        <v>341.776</v>
      </c>
      <c r="AT8" s="2">
        <v>-1132.67</v>
      </c>
      <c r="AU8" s="2">
        <v>-823.031</v>
      </c>
      <c r="AV8" s="2">
        <v>-812</v>
      </c>
      <c r="AW8" s="2">
        <v>0</v>
      </c>
      <c r="AX8" s="2">
        <v>0</v>
      </c>
      <c r="AY8" s="2">
        <v>0</v>
      </c>
      <c r="AZ8" s="2">
        <v>0</v>
      </c>
      <c r="BA8" s="2">
        <v>0</v>
      </c>
      <c r="BB8" s="2">
        <v>67.048</v>
      </c>
      <c r="BC8" s="2">
        <v>0</v>
      </c>
      <c r="BD8" s="2">
        <v>0</v>
      </c>
      <c r="BE8" s="2">
        <v>0</v>
      </c>
      <c r="BF8" s="2">
        <f>-15022.962-1100.617</f>
        <v>-16123.579</v>
      </c>
      <c r="BG8" s="2">
        <v>0</v>
      </c>
      <c r="BH8" s="2">
        <v>0</v>
      </c>
      <c r="BI8" s="2">
        <v>0</v>
      </c>
      <c r="BK8" s="2">
        <f>SUM(B8:BJ8)</f>
        <v>-9477.072000000155</v>
      </c>
      <c r="BL8" s="2"/>
      <c r="BM8" s="2">
        <f t="shared" si="0"/>
        <v>-15522.269000000002</v>
      </c>
      <c r="BN8" s="2">
        <f>B8+D8+E8+F8+G8+H8+I8+J8+K8+L8+M8+N8+O8+P8+Q8+R8+S8+T8+U8+W8+X8+Y8+Z8+AA8+AB8+AC8+AE8+AF8+AG8+AI8+AJ8+AK8+AL8+AM8+AO8+AQ8+AT8+AV8+AX8+AY8+BA8+BC8+BH8+BI8+AR8+BF8</f>
        <v>6045.196999999875</v>
      </c>
      <c r="BO8" s="2"/>
      <c r="BP8" s="41"/>
    </row>
    <row r="9" spans="1:68" ht="12.75">
      <c r="A9" s="25" t="s">
        <v>304</v>
      </c>
      <c r="B9" s="2">
        <v>0</v>
      </c>
      <c r="C9" s="2">
        <f>2469701.07+4870664.732+6991629.134</f>
        <v>14331994.935999999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f>175977.058+903517.312</f>
        <v>1079494.37</v>
      </c>
      <c r="W9" s="2">
        <v>0</v>
      </c>
      <c r="X9" s="2">
        <v>21915.429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357383.963</v>
      </c>
      <c r="AE9" s="2">
        <v>0</v>
      </c>
      <c r="AF9" s="2">
        <v>0</v>
      </c>
      <c r="AG9" s="2">
        <v>18501.503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21244.162</v>
      </c>
      <c r="AO9" s="2">
        <v>11465.917</v>
      </c>
      <c r="AP9" s="2">
        <v>0</v>
      </c>
      <c r="AQ9" s="2">
        <v>0</v>
      </c>
      <c r="AR9" s="2">
        <v>0</v>
      </c>
      <c r="AS9" s="2">
        <v>42994.363</v>
      </c>
      <c r="AT9" s="2">
        <v>0</v>
      </c>
      <c r="AU9" s="2">
        <v>23928.801</v>
      </c>
      <c r="AV9" s="2">
        <v>967.355</v>
      </c>
      <c r="AW9" s="2">
        <v>0</v>
      </c>
      <c r="AX9" s="2">
        <v>0</v>
      </c>
      <c r="AY9" s="2">
        <v>3782.601</v>
      </c>
      <c r="AZ9" s="2">
        <f>23412.1+9426.568</f>
        <v>32838.668</v>
      </c>
      <c r="BA9" s="2">
        <v>0</v>
      </c>
      <c r="BB9" s="2">
        <v>11513.926</v>
      </c>
      <c r="BC9" s="2">
        <v>0</v>
      </c>
      <c r="BD9" s="2">
        <v>8200.343</v>
      </c>
      <c r="BE9" s="2">
        <v>21720.307</v>
      </c>
      <c r="BF9" s="2">
        <v>0</v>
      </c>
      <c r="BG9" s="2">
        <v>12851.69</v>
      </c>
      <c r="BH9" s="2">
        <v>0</v>
      </c>
      <c r="BI9" s="2">
        <v>0</v>
      </c>
      <c r="BK9" s="2">
        <f>SUM(B9:BJ9)</f>
        <v>16000798.333999999</v>
      </c>
      <c r="BL9" s="2"/>
      <c r="BM9" s="2">
        <f t="shared" si="0"/>
        <v>15944165.529</v>
      </c>
      <c r="BN9" s="2">
        <f>B9+D9+E9+F9+G9+H9+I9+J9+K9+L9+M9+N9+O9+P9+Q9+R9+S9+T9+U9+W9+X9+Y9+Z9+AA9+AB9+AC9+AE9+AF9+AG9+AI9+AJ9+AK9+AL9+AM9+AO9+AQ9+AT9+AV9+AX9+AY9+BA9+BC9+BH9+BI9+AR9+BF9</f>
        <v>56632.80500000001</v>
      </c>
      <c r="BO9" s="2"/>
      <c r="BP9" s="41"/>
    </row>
    <row r="10" spans="1:68" ht="5.25" customHeight="1">
      <c r="A10" s="24" t="s">
        <v>147</v>
      </c>
      <c r="BK10" s="2"/>
      <c r="BL10" s="2"/>
      <c r="BM10" s="2"/>
      <c r="BN10" s="2"/>
      <c r="BP10" s="41"/>
    </row>
    <row r="11" spans="1:68" ht="12.75">
      <c r="A11" s="45" t="s">
        <v>305</v>
      </c>
      <c r="B11" s="41">
        <f aca="true" t="shared" si="1" ref="B11:AG11">SUM(B6:B9)</f>
        <v>4773291.887</v>
      </c>
      <c r="C11" s="41">
        <f t="shared" si="1"/>
        <v>20024072.792</v>
      </c>
      <c r="D11" s="41">
        <f t="shared" si="1"/>
        <v>2097114.513</v>
      </c>
      <c r="E11" s="41">
        <f t="shared" si="1"/>
        <v>1932689.5250000001</v>
      </c>
      <c r="F11" s="41">
        <f t="shared" si="1"/>
        <v>1702617.9610000001</v>
      </c>
      <c r="G11" s="41">
        <f t="shared" si="1"/>
        <v>939895.677</v>
      </c>
      <c r="H11" s="41">
        <f t="shared" si="1"/>
        <v>700221.432</v>
      </c>
      <c r="I11" s="41">
        <f t="shared" si="1"/>
        <v>1318135.723</v>
      </c>
      <c r="J11" s="41">
        <f t="shared" si="1"/>
        <v>793833.363</v>
      </c>
      <c r="K11" s="41">
        <f t="shared" si="1"/>
        <v>951172.1560000001</v>
      </c>
      <c r="L11" s="41">
        <f t="shared" si="1"/>
        <v>697839.242</v>
      </c>
      <c r="M11" s="41">
        <f t="shared" si="1"/>
        <v>532290.633</v>
      </c>
      <c r="N11" s="41">
        <f t="shared" si="1"/>
        <v>306207.314</v>
      </c>
      <c r="O11" s="41">
        <f t="shared" si="1"/>
        <v>500072.44500000007</v>
      </c>
      <c r="P11" s="41">
        <f t="shared" si="1"/>
        <v>739915.91</v>
      </c>
      <c r="Q11" s="41">
        <f t="shared" si="1"/>
        <v>529201.9589999999</v>
      </c>
      <c r="R11" s="41">
        <f t="shared" si="1"/>
        <v>380250.929</v>
      </c>
      <c r="S11" s="41">
        <f t="shared" si="1"/>
        <v>1143939.223</v>
      </c>
      <c r="T11" s="41">
        <f t="shared" si="1"/>
        <v>368675.046</v>
      </c>
      <c r="U11" s="41">
        <f t="shared" si="1"/>
        <v>1538120.6579999998</v>
      </c>
      <c r="V11" s="41">
        <f t="shared" si="1"/>
        <v>1276674.925</v>
      </c>
      <c r="W11" s="41">
        <f t="shared" si="1"/>
        <v>287773.082</v>
      </c>
      <c r="X11" s="41">
        <f t="shared" si="1"/>
        <v>-297795.293</v>
      </c>
      <c r="Y11" s="41">
        <f t="shared" si="1"/>
        <v>1421430</v>
      </c>
      <c r="Z11" s="41">
        <f t="shared" si="1"/>
        <v>389139.614</v>
      </c>
      <c r="AA11" s="41">
        <f t="shared" si="1"/>
        <v>289503.24</v>
      </c>
      <c r="AB11" s="41">
        <f t="shared" si="1"/>
        <v>628927.745</v>
      </c>
      <c r="AC11" s="41">
        <f t="shared" si="1"/>
        <v>179681.35700000002</v>
      </c>
      <c r="AD11" s="41">
        <f t="shared" si="1"/>
        <v>778082.199</v>
      </c>
      <c r="AE11" s="41">
        <f t="shared" si="1"/>
        <v>135785.48299999998</v>
      </c>
      <c r="AF11" s="41">
        <f t="shared" si="1"/>
        <v>97056.38100000001</v>
      </c>
      <c r="AG11" s="41">
        <f t="shared" si="1"/>
        <v>18169.454</v>
      </c>
      <c r="AH11" s="41">
        <f aca="true" t="shared" si="2" ref="AH11:BH11">SUM(AH6:AH9)</f>
        <v>57431.582</v>
      </c>
      <c r="AI11" s="41">
        <f t="shared" si="2"/>
        <v>69758.321</v>
      </c>
      <c r="AJ11" s="41">
        <f t="shared" si="2"/>
        <v>46640.014</v>
      </c>
      <c r="AK11" s="41">
        <f t="shared" si="2"/>
        <v>97868.78</v>
      </c>
      <c r="AL11" s="41">
        <f>SUM(AL6:AL9)</f>
        <v>78083.261</v>
      </c>
      <c r="AM11" s="41">
        <f>SUM(AM6:AM9)</f>
        <v>3826.798999999999</v>
      </c>
      <c r="AN11" s="41">
        <f t="shared" si="2"/>
        <v>64603.62699999999</v>
      </c>
      <c r="AO11" s="41">
        <f t="shared" si="2"/>
        <v>11523.572</v>
      </c>
      <c r="AP11" s="41">
        <f t="shared" si="2"/>
        <v>90936.217</v>
      </c>
      <c r="AQ11" s="41">
        <f t="shared" si="2"/>
        <v>53374.678</v>
      </c>
      <c r="AR11" s="41">
        <f>SUM(AR6:AR9)</f>
        <v>413545.091</v>
      </c>
      <c r="AS11" s="41">
        <f t="shared" si="2"/>
        <v>98138.78899999999</v>
      </c>
      <c r="AT11" s="41">
        <f t="shared" si="2"/>
        <v>70388.065</v>
      </c>
      <c r="AU11" s="41">
        <f t="shared" si="2"/>
        <v>45486.47</v>
      </c>
      <c r="AV11" s="41">
        <f t="shared" si="2"/>
        <v>155.35500000000002</v>
      </c>
      <c r="AW11" s="41">
        <f>SUM(AW6:AW9)</f>
        <v>498704.56299999997</v>
      </c>
      <c r="AX11" s="41">
        <f t="shared" si="2"/>
        <v>0</v>
      </c>
      <c r="AY11" s="41">
        <f t="shared" si="2"/>
        <v>3782.601</v>
      </c>
      <c r="AZ11" s="41">
        <f t="shared" si="2"/>
        <v>59471.195999999996</v>
      </c>
      <c r="BA11" s="41">
        <f t="shared" si="2"/>
        <v>0</v>
      </c>
      <c r="BB11" s="41">
        <f t="shared" si="2"/>
        <v>19325.57</v>
      </c>
      <c r="BC11" s="41">
        <f t="shared" si="2"/>
        <v>0</v>
      </c>
      <c r="BD11" s="41">
        <f t="shared" si="2"/>
        <v>13097.549</v>
      </c>
      <c r="BE11" s="41">
        <f t="shared" si="2"/>
        <v>21720.307</v>
      </c>
      <c r="BF11" s="41">
        <f>SUM(BF6:BF9)</f>
        <v>-9268.663</v>
      </c>
      <c r="BG11" s="41">
        <f t="shared" si="2"/>
        <v>24666.466</v>
      </c>
      <c r="BH11" s="41">
        <f t="shared" si="2"/>
        <v>0</v>
      </c>
      <c r="BI11" s="41">
        <f>SUM(BI6:BI9)</f>
        <v>0</v>
      </c>
      <c r="BK11" s="2">
        <f>SUM(B11:BJ11)</f>
        <v>49007246.78499999</v>
      </c>
      <c r="BL11" s="2"/>
      <c r="BM11" s="2">
        <f t="shared" si="0"/>
        <v>23072412.251999997</v>
      </c>
      <c r="BN11" s="2">
        <f>B11+D11+E11+F11+G11+H11+I11+J11+K11+L11+M11+N11+O11+P11+Q11+R11+S11+T11+U11+W11+X11+Y11+Z11+AA11+AB11+AC11+AE11+AF11+AG11+AI11+AJ11+AK11+AL11+AM11+AO11+AQ11+AT11+AV11+AX11+AY11+BA11+BC11+BH11+BI11+AR11+BF11</f>
        <v>25934834.532999996</v>
      </c>
      <c r="BO11" s="41"/>
      <c r="BP11" s="41"/>
    </row>
    <row r="12" spans="1:68" ht="8.25" customHeight="1">
      <c r="A12" s="26"/>
      <c r="BK12" s="2"/>
      <c r="BL12" s="2"/>
      <c r="BM12" s="2"/>
      <c r="BN12" s="2"/>
      <c r="BP12" s="41"/>
    </row>
    <row r="13" spans="1:68" ht="12.75">
      <c r="A13" s="26" t="s">
        <v>314</v>
      </c>
      <c r="BK13" s="2"/>
      <c r="BL13" s="2"/>
      <c r="BM13" s="2"/>
      <c r="BN13" s="2"/>
      <c r="BP13" s="41"/>
    </row>
    <row r="14" spans="1:68" ht="12.75">
      <c r="A14" s="25" t="s">
        <v>300</v>
      </c>
      <c r="B14" s="2">
        <v>1346563.813</v>
      </c>
      <c r="C14" s="2">
        <v>5591834.46</v>
      </c>
      <c r="D14" s="2">
        <v>1360549.129</v>
      </c>
      <c r="E14" s="2">
        <v>890973.367</v>
      </c>
      <c r="F14" s="2">
        <v>829321.602</v>
      </c>
      <c r="G14" s="2">
        <v>415977.934</v>
      </c>
      <c r="H14" s="2">
        <v>120327.384</v>
      </c>
      <c r="I14" s="2">
        <v>391030.294</v>
      </c>
      <c r="J14" s="2">
        <v>581917.639</v>
      </c>
      <c r="K14" s="2">
        <v>126538.333</v>
      </c>
      <c r="L14" s="2">
        <v>241192.423</v>
      </c>
      <c r="M14" s="2">
        <v>218372.869</v>
      </c>
      <c r="N14" s="2">
        <v>499521.114</v>
      </c>
      <c r="O14" s="2">
        <v>91572.419</v>
      </c>
      <c r="P14" s="2">
        <v>90245.01</v>
      </c>
      <c r="Q14" s="2">
        <v>289054.214</v>
      </c>
      <c r="R14" s="2">
        <v>183810.538</v>
      </c>
      <c r="S14" s="2">
        <v>62060.105</v>
      </c>
      <c r="T14" s="2">
        <v>204673.444</v>
      </c>
      <c r="U14" s="2">
        <v>45874.306</v>
      </c>
      <c r="V14" s="2">
        <v>363653.69</v>
      </c>
      <c r="W14" s="2">
        <v>162313.046</v>
      </c>
      <c r="X14" s="2">
        <v>157354.173</v>
      </c>
      <c r="Y14" s="2">
        <v>40062</v>
      </c>
      <c r="Z14" s="2">
        <v>21069.141</v>
      </c>
      <c r="AA14" s="2">
        <v>106101.093</v>
      </c>
      <c r="AB14" s="2">
        <v>40304.371</v>
      </c>
      <c r="AC14" s="2">
        <v>121642.04</v>
      </c>
      <c r="AD14" s="2">
        <v>723877.513</v>
      </c>
      <c r="AE14" s="2">
        <v>55238.85</v>
      </c>
      <c r="AF14" s="2">
        <v>106438.079</v>
      </c>
      <c r="AG14" s="2">
        <v>117458.478</v>
      </c>
      <c r="AH14" s="2">
        <v>44888.909</v>
      </c>
      <c r="AI14" s="2">
        <v>33008.526</v>
      </c>
      <c r="AJ14" s="2">
        <v>67838.022</v>
      </c>
      <c r="AK14" s="2">
        <v>30739.021</v>
      </c>
      <c r="AL14" s="2">
        <v>14464.591</v>
      </c>
      <c r="AM14" s="2">
        <v>24351.485</v>
      </c>
      <c r="AN14" s="2">
        <v>47209.249</v>
      </c>
      <c r="AO14" s="2">
        <v>62953.443</v>
      </c>
      <c r="AP14" s="2">
        <v>35182.773</v>
      </c>
      <c r="AQ14" s="2">
        <v>9316.361</v>
      </c>
      <c r="AR14" s="2">
        <v>2880.729</v>
      </c>
      <c r="AS14" s="2">
        <v>98706.733</v>
      </c>
      <c r="AT14" s="2">
        <v>26920.365</v>
      </c>
      <c r="AU14" s="2">
        <v>54858.139</v>
      </c>
      <c r="AV14" s="2">
        <v>40233.039</v>
      </c>
      <c r="AW14" s="2">
        <v>49.267</v>
      </c>
      <c r="AX14" s="2">
        <v>28947.549</v>
      </c>
      <c r="AY14" s="2">
        <v>34331.838</v>
      </c>
      <c r="AZ14" s="2">
        <v>32731.342</v>
      </c>
      <c r="BA14" s="2">
        <v>34935.071</v>
      </c>
      <c r="BB14" s="2">
        <v>21594.239</v>
      </c>
      <c r="BC14" s="2">
        <v>15694.177</v>
      </c>
      <c r="BD14" s="2">
        <v>17129.679</v>
      </c>
      <c r="BE14" s="2">
        <v>100301.464</v>
      </c>
      <c r="BF14" s="2">
        <v>141.804</v>
      </c>
      <c r="BG14" s="2">
        <v>36870.016</v>
      </c>
      <c r="BH14" s="2">
        <v>5029.81</v>
      </c>
      <c r="BI14" s="2">
        <v>1370.426</v>
      </c>
      <c r="BK14" s="2">
        <f>SUM(B14:BJ14)</f>
        <v>16519600.938000003</v>
      </c>
      <c r="BL14" s="2"/>
      <c r="BM14" s="2">
        <f t="shared" si="0"/>
        <v>7168887.473</v>
      </c>
      <c r="BN14" s="2">
        <f>B14+D14+E14+F14+G14+H14+I14+J14+K14+L14+M14+N14+O14+P14+Q14+R14+S14+T14+U14+W14+X14+Y14+Z14+AA14+AB14+AC14+AE14+AF14+AG14+AI14+AJ14+AK14+AL14+AM14+AO14+AQ14+AT14+AV14+AX14+AY14+BA14+BC14+BH14+BI14+AR14+BF14</f>
        <v>9350713.465</v>
      </c>
      <c r="BO14" s="2"/>
      <c r="BP14" s="41"/>
    </row>
    <row r="15" spans="1:68" ht="12.75">
      <c r="A15" s="25" t="s">
        <v>299</v>
      </c>
      <c r="B15" s="2">
        <v>-5778.285</v>
      </c>
      <c r="C15" s="2">
        <v>0</v>
      </c>
      <c r="D15" s="2">
        <v>-66679</v>
      </c>
      <c r="E15" s="2">
        <v>-17751.464</v>
      </c>
      <c r="F15" s="2">
        <v>-1335.23</v>
      </c>
      <c r="G15" s="2">
        <v>-16444.243</v>
      </c>
      <c r="H15" s="2">
        <v>0</v>
      </c>
      <c r="I15" s="2">
        <v>0</v>
      </c>
      <c r="J15" s="2">
        <v>-5487.283</v>
      </c>
      <c r="K15" s="2">
        <v>-552.163</v>
      </c>
      <c r="L15" s="2">
        <v>-7659.936</v>
      </c>
      <c r="M15" s="2">
        <v>-7703.929</v>
      </c>
      <c r="N15" s="2">
        <v>-91126.357</v>
      </c>
      <c r="O15" s="2">
        <v>0</v>
      </c>
      <c r="P15" s="2">
        <v>0</v>
      </c>
      <c r="Q15" s="2">
        <v>-11918.702</v>
      </c>
      <c r="R15" s="2">
        <v>-3854.863</v>
      </c>
      <c r="S15" s="2">
        <v>0</v>
      </c>
      <c r="T15" s="2">
        <v>-8795.79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-4359.494</v>
      </c>
      <c r="AB15" s="2">
        <v>0</v>
      </c>
      <c r="AC15" s="2">
        <v>-5962.218</v>
      </c>
      <c r="AD15" s="2">
        <v>0</v>
      </c>
      <c r="AE15" s="2">
        <v>-426.569</v>
      </c>
      <c r="AF15" s="2">
        <v>-535.065</v>
      </c>
      <c r="AG15" s="2">
        <v>0</v>
      </c>
      <c r="AH15" s="2">
        <v>0</v>
      </c>
      <c r="AI15" s="2">
        <v>-1208.461</v>
      </c>
      <c r="AJ15" s="2">
        <v>0</v>
      </c>
      <c r="AK15" s="2">
        <v>-383.694</v>
      </c>
      <c r="AL15" s="2">
        <v>0</v>
      </c>
      <c r="AM15" s="2">
        <v>0</v>
      </c>
      <c r="AN15" s="2">
        <v>0</v>
      </c>
      <c r="AO15" s="2">
        <v>-411.838</v>
      </c>
      <c r="AP15" s="2">
        <v>0</v>
      </c>
      <c r="AQ15" s="2">
        <v>0</v>
      </c>
      <c r="AR15" s="2">
        <v>0</v>
      </c>
      <c r="AS15" s="2">
        <v>0</v>
      </c>
      <c r="AT15" s="2">
        <v>-1578.713</v>
      </c>
      <c r="AU15" s="2">
        <v>0</v>
      </c>
      <c r="AV15" s="2">
        <v>-525.466</v>
      </c>
      <c r="AW15" s="2">
        <v>0</v>
      </c>
      <c r="AX15" s="2">
        <v>-1.343</v>
      </c>
      <c r="AY15" s="2">
        <v>-992.486</v>
      </c>
      <c r="AZ15" s="2">
        <v>0</v>
      </c>
      <c r="BA15" s="2">
        <v>-139.855</v>
      </c>
      <c r="BB15" s="2">
        <v>0</v>
      </c>
      <c r="BC15" s="2">
        <v>0</v>
      </c>
      <c r="BD15" s="2">
        <v>0</v>
      </c>
      <c r="BE15" s="2">
        <v>0</v>
      </c>
      <c r="BF15" s="2">
        <v>0</v>
      </c>
      <c r="BG15" s="2">
        <v>0</v>
      </c>
      <c r="BH15" s="2">
        <v>0</v>
      </c>
      <c r="BI15" s="2">
        <v>0</v>
      </c>
      <c r="BK15" s="2">
        <f>SUM(B15:BJ15)</f>
        <v>-261612.447</v>
      </c>
      <c r="BL15" s="2"/>
      <c r="BM15" s="2">
        <f t="shared" si="0"/>
        <v>0</v>
      </c>
      <c r="BN15" s="2">
        <f>B15+D15+E15+F15+G15+H15+I15+J15+K15+L15+M15+N15+O15+P15+Q15+R15+S15+T15+U15+W15+X15+Y15+Z15+AA15+AB15+AC15+AE15+AF15+AG15+AI15+AJ15+AK15+AL15+AM15+AO15+AQ15+AT15+AV15+AX15+AY15+BA15+BC15+BH15+BI15+AR15+BF15</f>
        <v>-261612.447</v>
      </c>
      <c r="BO15" s="2"/>
      <c r="BP15" s="41"/>
    </row>
    <row r="16" spans="1:68" ht="12.75">
      <c r="A16" s="25" t="s">
        <v>298</v>
      </c>
      <c r="B16" s="2">
        <v>1536.217</v>
      </c>
      <c r="C16" s="2">
        <v>705.008</v>
      </c>
      <c r="D16" s="2">
        <v>5558.628</v>
      </c>
      <c r="E16" s="2">
        <v>2058.58</v>
      </c>
      <c r="F16" s="2">
        <v>1070.102</v>
      </c>
      <c r="G16" s="2">
        <v>1745.125</v>
      </c>
      <c r="H16" s="2">
        <v>261.839</v>
      </c>
      <c r="I16" s="2">
        <v>0</v>
      </c>
      <c r="J16" s="2">
        <v>0</v>
      </c>
      <c r="K16" s="2">
        <v>148.811</v>
      </c>
      <c r="L16" s="2">
        <v>352.204</v>
      </c>
      <c r="M16" s="2">
        <v>905.766</v>
      </c>
      <c r="N16" s="2">
        <v>328.767</v>
      </c>
      <c r="O16" s="2">
        <v>0</v>
      </c>
      <c r="P16" s="2">
        <v>99</v>
      </c>
      <c r="Q16" s="2">
        <v>1355.02</v>
      </c>
      <c r="R16" s="2">
        <v>247.639</v>
      </c>
      <c r="S16" s="2">
        <v>0</v>
      </c>
      <c r="T16" s="2">
        <v>735.449</v>
      </c>
      <c r="U16" s="2">
        <v>0</v>
      </c>
      <c r="V16" s="2">
        <v>76.448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180.17</v>
      </c>
      <c r="AD16" s="2">
        <v>357.194</v>
      </c>
      <c r="AE16" s="2">
        <v>1.898</v>
      </c>
      <c r="AF16" s="2">
        <v>0</v>
      </c>
      <c r="AG16" s="2">
        <v>0</v>
      </c>
      <c r="AH16" s="2">
        <v>0</v>
      </c>
      <c r="AI16" s="2">
        <v>0</v>
      </c>
      <c r="AJ16" s="2">
        <v>0</v>
      </c>
      <c r="AK16" s="2">
        <v>49.382</v>
      </c>
      <c r="AL16" s="2">
        <v>0</v>
      </c>
      <c r="AM16" s="2">
        <v>0</v>
      </c>
      <c r="AN16" s="2">
        <v>0</v>
      </c>
      <c r="AO16" s="2">
        <v>14.422</v>
      </c>
      <c r="AP16" s="2">
        <v>0</v>
      </c>
      <c r="AQ16" s="2">
        <v>0</v>
      </c>
      <c r="AR16" s="2">
        <v>0</v>
      </c>
      <c r="AS16" s="2">
        <v>0</v>
      </c>
      <c r="AT16" s="2">
        <v>110.848</v>
      </c>
      <c r="AU16" s="2">
        <v>0</v>
      </c>
      <c r="AV16" s="2">
        <v>0</v>
      </c>
      <c r="AW16" s="2">
        <v>0</v>
      </c>
      <c r="AX16" s="2">
        <v>0</v>
      </c>
      <c r="AY16" s="2">
        <v>0</v>
      </c>
      <c r="AZ16" s="2">
        <v>0</v>
      </c>
      <c r="BA16" s="2">
        <v>0</v>
      </c>
      <c r="BB16" s="2">
        <v>0</v>
      </c>
      <c r="BC16" s="2">
        <v>0</v>
      </c>
      <c r="BD16" s="2">
        <v>0</v>
      </c>
      <c r="BE16" s="2">
        <v>0</v>
      </c>
      <c r="BF16" s="2">
        <v>0</v>
      </c>
      <c r="BG16" s="2">
        <v>0</v>
      </c>
      <c r="BH16" s="2">
        <v>0</v>
      </c>
      <c r="BI16" s="2">
        <v>0</v>
      </c>
      <c r="BK16" s="2">
        <f>SUM(B16:BJ16)</f>
        <v>17898.517</v>
      </c>
      <c r="BL16" s="2"/>
      <c r="BM16" s="2">
        <f t="shared" si="0"/>
        <v>1138.65</v>
      </c>
      <c r="BN16" s="2">
        <f>B16+D16+E16+F16+G16+H16+I16+J16+K16+L16+M16+N16+O16+P16+Q16+R16+S16+T16+U16+W16+X16+Y16+Z16+AA16+AB16+AC16+AE16+AF16+AG16+AI16+AJ16+AK16+AL16+AM16+AO16+AQ16+AT16+AV16+AX16+AY16+BA16+BC16+BH16+BI16+AR16+BF16</f>
        <v>16759.867</v>
      </c>
      <c r="BO16" s="2"/>
      <c r="BP16" s="41"/>
    </row>
    <row r="17" spans="1:68" ht="12.75">
      <c r="A17" s="25" t="s">
        <v>451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  <c r="Z17" s="2">
        <v>0</v>
      </c>
      <c r="AA17" s="2">
        <v>0</v>
      </c>
      <c r="AB17" s="2">
        <v>0</v>
      </c>
      <c r="AC17" s="2">
        <v>0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I17" s="2">
        <v>0</v>
      </c>
      <c r="AJ17" s="2">
        <v>0</v>
      </c>
      <c r="AK17" s="2">
        <v>0</v>
      </c>
      <c r="AL17" s="2">
        <v>0</v>
      </c>
      <c r="AM17" s="2">
        <v>0</v>
      </c>
      <c r="AN17" s="2">
        <v>0</v>
      </c>
      <c r="AO17" s="2">
        <v>0</v>
      </c>
      <c r="AP17" s="2">
        <v>0</v>
      </c>
      <c r="AQ17" s="2">
        <v>0</v>
      </c>
      <c r="AR17" s="2">
        <v>0</v>
      </c>
      <c r="AS17" s="2">
        <v>0</v>
      </c>
      <c r="AT17" s="2">
        <v>0</v>
      </c>
      <c r="AU17" s="2">
        <v>0</v>
      </c>
      <c r="AV17" s="2">
        <v>0</v>
      </c>
      <c r="AW17" s="2">
        <v>0</v>
      </c>
      <c r="AX17" s="2">
        <v>0</v>
      </c>
      <c r="AY17" s="2">
        <v>0</v>
      </c>
      <c r="AZ17" s="2">
        <v>0</v>
      </c>
      <c r="BA17" s="2">
        <v>0</v>
      </c>
      <c r="BB17" s="2">
        <v>0</v>
      </c>
      <c r="BC17" s="2">
        <v>0</v>
      </c>
      <c r="BD17" s="2">
        <v>0</v>
      </c>
      <c r="BE17" s="2">
        <v>0</v>
      </c>
      <c r="BF17" s="2">
        <v>0</v>
      </c>
      <c r="BG17" s="2">
        <v>0</v>
      </c>
      <c r="BH17" s="2">
        <v>0</v>
      </c>
      <c r="BI17" s="2">
        <v>0</v>
      </c>
      <c r="BK17" s="2">
        <f>SUM(B17:BJ17)</f>
        <v>0</v>
      </c>
      <c r="BL17" s="2"/>
      <c r="BM17" s="2">
        <f t="shared" si="0"/>
        <v>0</v>
      </c>
      <c r="BN17" s="2">
        <f>B17+D17+E17+F17+G17+H17+I17+J17+K17+L17+M17+N17+O17+P17+Q17+R17+S17+T17+U17+W17+X17+Y17+Z17+AA17+AB17+AC17+AE17+AF17+AG17+AI17+AJ17+AK17+AL17+AM17+AO17+AQ17+AT17+AV17+AX17+AY17+BA17+BC17+BH17+BI17+AR17+BF17</f>
        <v>0</v>
      </c>
      <c r="BO17" s="2"/>
      <c r="BP17" s="41"/>
    </row>
    <row r="18" spans="1:68" ht="5.25" customHeight="1">
      <c r="A18" s="24"/>
      <c r="BK18" s="2"/>
      <c r="BL18" s="2"/>
      <c r="BM18" s="2"/>
      <c r="BN18" s="2"/>
      <c r="BP18" s="41"/>
    </row>
    <row r="19" spans="1:68" ht="12.75">
      <c r="A19" s="45" t="s">
        <v>306</v>
      </c>
      <c r="B19" s="41">
        <f aca="true" t="shared" si="3" ref="B19:AG19">SUM(B14:B17)</f>
        <v>1342321.745</v>
      </c>
      <c r="C19" s="41">
        <f t="shared" si="3"/>
        <v>5592539.468</v>
      </c>
      <c r="D19" s="41">
        <f t="shared" si="3"/>
        <v>1299428.757</v>
      </c>
      <c r="E19" s="41">
        <f t="shared" si="3"/>
        <v>875280.4829999999</v>
      </c>
      <c r="F19" s="41">
        <f t="shared" si="3"/>
        <v>829056.4739999999</v>
      </c>
      <c r="G19" s="41">
        <f t="shared" si="3"/>
        <v>401278.816</v>
      </c>
      <c r="H19" s="41">
        <f t="shared" si="3"/>
        <v>120589.22300000001</v>
      </c>
      <c r="I19" s="41">
        <f t="shared" si="3"/>
        <v>391030.294</v>
      </c>
      <c r="J19" s="41">
        <f t="shared" si="3"/>
        <v>576430.3559999999</v>
      </c>
      <c r="K19" s="41">
        <f t="shared" si="3"/>
        <v>126134.981</v>
      </c>
      <c r="L19" s="41">
        <f t="shared" si="3"/>
        <v>233884.69100000002</v>
      </c>
      <c r="M19" s="41">
        <f t="shared" si="3"/>
        <v>211574.706</v>
      </c>
      <c r="N19" s="41">
        <f t="shared" si="3"/>
        <v>408723.524</v>
      </c>
      <c r="O19" s="41">
        <f t="shared" si="3"/>
        <v>91572.419</v>
      </c>
      <c r="P19" s="41">
        <f t="shared" si="3"/>
        <v>90344.01</v>
      </c>
      <c r="Q19" s="41">
        <f t="shared" si="3"/>
        <v>278490.532</v>
      </c>
      <c r="R19" s="41">
        <f t="shared" si="3"/>
        <v>180203.31399999998</v>
      </c>
      <c r="S19" s="41">
        <f t="shared" si="3"/>
        <v>62060.105</v>
      </c>
      <c r="T19" s="41">
        <f t="shared" si="3"/>
        <v>196613.10299999997</v>
      </c>
      <c r="U19" s="41">
        <f t="shared" si="3"/>
        <v>45874.306</v>
      </c>
      <c r="V19" s="41">
        <f t="shared" si="3"/>
        <v>363730.138</v>
      </c>
      <c r="W19" s="41">
        <f t="shared" si="3"/>
        <v>162313.046</v>
      </c>
      <c r="X19" s="41">
        <f t="shared" si="3"/>
        <v>157354.173</v>
      </c>
      <c r="Y19" s="41">
        <f t="shared" si="3"/>
        <v>40062</v>
      </c>
      <c r="Z19" s="41">
        <f t="shared" si="3"/>
        <v>21069.141</v>
      </c>
      <c r="AA19" s="41">
        <f t="shared" si="3"/>
        <v>101741.59899999999</v>
      </c>
      <c r="AB19" s="41">
        <f t="shared" si="3"/>
        <v>40304.371</v>
      </c>
      <c r="AC19" s="41">
        <f t="shared" si="3"/>
        <v>115859.992</v>
      </c>
      <c r="AD19" s="41">
        <f t="shared" si="3"/>
        <v>724234.707</v>
      </c>
      <c r="AE19" s="41">
        <f t="shared" si="3"/>
        <v>54814.179</v>
      </c>
      <c r="AF19" s="41">
        <f t="shared" si="3"/>
        <v>105903.014</v>
      </c>
      <c r="AG19" s="41">
        <f t="shared" si="3"/>
        <v>117458.478</v>
      </c>
      <c r="AH19" s="41">
        <f aca="true" t="shared" si="4" ref="AH19:BH19">SUM(AH14:AH17)</f>
        <v>44888.909</v>
      </c>
      <c r="AI19" s="41">
        <f t="shared" si="4"/>
        <v>31800.065</v>
      </c>
      <c r="AJ19" s="41">
        <f t="shared" si="4"/>
        <v>67838.022</v>
      </c>
      <c r="AK19" s="41">
        <f t="shared" si="4"/>
        <v>30404.709000000003</v>
      </c>
      <c r="AL19" s="41">
        <f>SUM(AL14:AL17)</f>
        <v>14464.591</v>
      </c>
      <c r="AM19" s="41">
        <f>SUM(AM14:AM17)</f>
        <v>24351.485</v>
      </c>
      <c r="AN19" s="41">
        <f t="shared" si="4"/>
        <v>47209.249</v>
      </c>
      <c r="AO19" s="41">
        <f t="shared" si="4"/>
        <v>62556.026999999995</v>
      </c>
      <c r="AP19" s="41">
        <f t="shared" si="4"/>
        <v>35182.773</v>
      </c>
      <c r="AQ19" s="41">
        <f t="shared" si="4"/>
        <v>9316.361</v>
      </c>
      <c r="AR19" s="41">
        <f>SUM(AR14:AR17)</f>
        <v>2880.729</v>
      </c>
      <c r="AS19" s="41">
        <f t="shared" si="4"/>
        <v>98706.733</v>
      </c>
      <c r="AT19" s="41">
        <f t="shared" si="4"/>
        <v>25452.500000000004</v>
      </c>
      <c r="AU19" s="41">
        <f t="shared" si="4"/>
        <v>54858.139</v>
      </c>
      <c r="AV19" s="41">
        <f t="shared" si="4"/>
        <v>39707.573</v>
      </c>
      <c r="AW19" s="41">
        <f>SUM(AW14:AW17)</f>
        <v>49.267</v>
      </c>
      <c r="AX19" s="41">
        <f t="shared" si="4"/>
        <v>28946.206</v>
      </c>
      <c r="AY19" s="41">
        <f t="shared" si="4"/>
        <v>33339.352000000006</v>
      </c>
      <c r="AZ19" s="41">
        <f t="shared" si="4"/>
        <v>32731.342</v>
      </c>
      <c r="BA19" s="41">
        <f t="shared" si="4"/>
        <v>34795.216</v>
      </c>
      <c r="BB19" s="41">
        <f t="shared" si="4"/>
        <v>21594.239</v>
      </c>
      <c r="BC19" s="41">
        <f t="shared" si="4"/>
        <v>15694.177</v>
      </c>
      <c r="BD19" s="41">
        <f t="shared" si="4"/>
        <v>17129.679</v>
      </c>
      <c r="BE19" s="41">
        <f t="shared" si="4"/>
        <v>100301.464</v>
      </c>
      <c r="BF19" s="41">
        <f>SUM(BF14:BF17)</f>
        <v>141.804</v>
      </c>
      <c r="BG19" s="41">
        <f t="shared" si="4"/>
        <v>36870.016</v>
      </c>
      <c r="BH19" s="41">
        <f t="shared" si="4"/>
        <v>5029.81</v>
      </c>
      <c r="BI19" s="41">
        <f>SUM(BI14:BI17)</f>
        <v>1370.426</v>
      </c>
      <c r="BK19" s="2">
        <f>SUM(B19:BJ19)</f>
        <v>16275887.008000001</v>
      </c>
      <c r="BL19" s="2"/>
      <c r="BM19" s="2">
        <f t="shared" si="0"/>
        <v>7170026.123000001</v>
      </c>
      <c r="BN19" s="2">
        <f>B19+D19+E19+F19+G19+H19+I19+J19+K19+L19+M19+N19+O19+P19+Q19+R19+S19+T19+U19+W19+X19+Y19+Z19+AA19+AB19+AC19+AE19+AF19+AG19+AI19+AJ19+AK19+AL19+AM19+AO19+AQ19+AT19+AV19+AX19+AY19+BA19+BC19+BH19+BI19+AR19+BF19</f>
        <v>9105860.885000002</v>
      </c>
      <c r="BO19" s="41"/>
      <c r="BP19" s="41"/>
    </row>
    <row r="20" spans="1:68" ht="8.25" customHeight="1">
      <c r="A20" s="26"/>
      <c r="BK20" s="2"/>
      <c r="BL20" s="2"/>
      <c r="BM20" s="2"/>
      <c r="BN20" s="2"/>
      <c r="BO20" s="41"/>
      <c r="BP20" s="41"/>
    </row>
    <row r="21" spans="1:68" ht="12.75">
      <c r="A21" s="26" t="s">
        <v>315</v>
      </c>
      <c r="BK21" s="2"/>
      <c r="BL21" s="2"/>
      <c r="BM21" s="2"/>
      <c r="BN21" s="2"/>
      <c r="BP21" s="41"/>
    </row>
    <row r="22" spans="1:68" ht="12.75">
      <c r="A22" s="25" t="s">
        <v>452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  <c r="AA22" s="2">
        <v>0</v>
      </c>
      <c r="AB22" s="2">
        <v>0</v>
      </c>
      <c r="AC22" s="2">
        <v>0</v>
      </c>
      <c r="AD22" s="2">
        <v>0</v>
      </c>
      <c r="AE22" s="2">
        <v>0</v>
      </c>
      <c r="AF22" s="2">
        <v>0</v>
      </c>
      <c r="AG22" s="2">
        <v>0</v>
      </c>
      <c r="AH22" s="2">
        <v>0</v>
      </c>
      <c r="AI22" s="2">
        <v>0</v>
      </c>
      <c r="AJ22" s="2">
        <v>0</v>
      </c>
      <c r="AK22" s="2">
        <v>0</v>
      </c>
      <c r="AL22" s="2">
        <v>0</v>
      </c>
      <c r="AM22" s="2">
        <v>0</v>
      </c>
      <c r="AN22" s="2">
        <v>0</v>
      </c>
      <c r="AO22" s="2">
        <v>0</v>
      </c>
      <c r="AP22" s="2">
        <v>0</v>
      </c>
      <c r="AQ22" s="2">
        <v>0</v>
      </c>
      <c r="AR22" s="2">
        <v>0</v>
      </c>
      <c r="AS22" s="2">
        <v>0</v>
      </c>
      <c r="AT22" s="2">
        <v>0</v>
      </c>
      <c r="AU22" s="2">
        <v>0</v>
      </c>
      <c r="AV22" s="2">
        <v>0</v>
      </c>
      <c r="AW22" s="2">
        <v>0</v>
      </c>
      <c r="AX22" s="2">
        <v>0</v>
      </c>
      <c r="AY22" s="2">
        <v>0</v>
      </c>
      <c r="AZ22" s="2">
        <v>0</v>
      </c>
      <c r="BA22" s="2">
        <v>0</v>
      </c>
      <c r="BB22" s="2">
        <v>0</v>
      </c>
      <c r="BC22" s="2">
        <v>0</v>
      </c>
      <c r="BD22" s="2">
        <v>0</v>
      </c>
      <c r="BE22" s="2">
        <v>0</v>
      </c>
      <c r="BF22" s="2">
        <v>0</v>
      </c>
      <c r="BG22" s="2">
        <v>0</v>
      </c>
      <c r="BH22" s="2">
        <v>0</v>
      </c>
      <c r="BI22" s="2">
        <v>0</v>
      </c>
      <c r="BK22" s="2">
        <f aca="true" t="shared" si="5" ref="BK22:BK31">SUM(B22:BJ22)</f>
        <v>0</v>
      </c>
      <c r="BL22" s="2"/>
      <c r="BM22" s="2">
        <f t="shared" si="0"/>
        <v>0</v>
      </c>
      <c r="BN22" s="2">
        <f aca="true" t="shared" si="6" ref="BN22:BN31">B22+D22+E22+F22+G22+H22+I22+J22+K22+L22+M22+N22+O22+P22+Q22+R22+S22+T22+U22+W22+X22+Y22+Z22+AA22+AB22+AC22+AE22+AF22+AG22+AI22+AJ22+AK22+AL22+AM22+AO22+AQ22+AT22+AV22+AX22+AY22+BA22+BC22+BH22+BI22+AR22+BF22</f>
        <v>0</v>
      </c>
      <c r="BO22" s="2"/>
      <c r="BP22" s="41"/>
    </row>
    <row r="23" spans="1:68" ht="12.75">
      <c r="A23" s="25" t="s">
        <v>453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0</v>
      </c>
      <c r="X23" s="2">
        <v>0</v>
      </c>
      <c r="Y23" s="2">
        <v>0</v>
      </c>
      <c r="Z23" s="2">
        <v>0</v>
      </c>
      <c r="AA23" s="2">
        <v>0</v>
      </c>
      <c r="AB23" s="2">
        <v>0</v>
      </c>
      <c r="AC23" s="2">
        <v>0</v>
      </c>
      <c r="AD23" s="2">
        <v>0</v>
      </c>
      <c r="AE23" s="2">
        <v>0</v>
      </c>
      <c r="AF23" s="2">
        <v>0</v>
      </c>
      <c r="AG23" s="2">
        <v>0</v>
      </c>
      <c r="AH23" s="2">
        <v>0</v>
      </c>
      <c r="AI23" s="2">
        <v>0</v>
      </c>
      <c r="AJ23" s="2">
        <v>0</v>
      </c>
      <c r="AK23" s="2">
        <v>0</v>
      </c>
      <c r="AL23" s="2">
        <v>0</v>
      </c>
      <c r="AM23" s="2">
        <v>0</v>
      </c>
      <c r="AN23" s="2">
        <v>0</v>
      </c>
      <c r="AO23" s="2">
        <v>0</v>
      </c>
      <c r="AP23" s="2">
        <v>0</v>
      </c>
      <c r="AQ23" s="2">
        <v>0</v>
      </c>
      <c r="AR23" s="2">
        <v>0</v>
      </c>
      <c r="AS23" s="2">
        <v>0</v>
      </c>
      <c r="AT23" s="2">
        <v>0</v>
      </c>
      <c r="AU23" s="2">
        <v>0</v>
      </c>
      <c r="AV23" s="2">
        <v>0</v>
      </c>
      <c r="AW23" s="2">
        <v>0</v>
      </c>
      <c r="AX23" s="2">
        <v>0</v>
      </c>
      <c r="AY23" s="2">
        <v>0</v>
      </c>
      <c r="AZ23" s="2">
        <v>0</v>
      </c>
      <c r="BA23" s="2">
        <v>0</v>
      </c>
      <c r="BB23" s="2">
        <v>0</v>
      </c>
      <c r="BC23" s="2">
        <v>0</v>
      </c>
      <c r="BD23" s="2">
        <v>0</v>
      </c>
      <c r="BE23" s="2">
        <v>0</v>
      </c>
      <c r="BF23" s="2">
        <v>0</v>
      </c>
      <c r="BG23" s="2">
        <v>0</v>
      </c>
      <c r="BH23" s="2">
        <v>0</v>
      </c>
      <c r="BI23" s="2">
        <v>0</v>
      </c>
      <c r="BK23" s="2">
        <f t="shared" si="5"/>
        <v>0</v>
      </c>
      <c r="BL23" s="2"/>
      <c r="BM23" s="2">
        <f t="shared" si="0"/>
        <v>0</v>
      </c>
      <c r="BN23" s="2">
        <f t="shared" si="6"/>
        <v>0</v>
      </c>
      <c r="BO23" s="2"/>
      <c r="BP23" s="41"/>
    </row>
    <row r="24" spans="1:68" ht="12.75">
      <c r="A24" s="25" t="s">
        <v>310</v>
      </c>
      <c r="B24" s="2">
        <v>5801911.715</v>
      </c>
      <c r="C24" s="2">
        <v>0</v>
      </c>
      <c r="D24" s="2">
        <v>4680133.145</v>
      </c>
      <c r="E24" s="2">
        <v>2186928.822</v>
      </c>
      <c r="F24" s="2">
        <v>926714.059</v>
      </c>
      <c r="G24" s="2">
        <v>2186853.361</v>
      </c>
      <c r="H24" s="2">
        <v>371940.135</v>
      </c>
      <c r="I24" s="2">
        <v>1742116.395</v>
      </c>
      <c r="J24" s="2">
        <v>1214031.315</v>
      </c>
      <c r="K24" s="2">
        <v>552042.833</v>
      </c>
      <c r="L24" s="2">
        <v>39634.779</v>
      </c>
      <c r="M24" s="2">
        <v>1229323.208</v>
      </c>
      <c r="N24" s="2">
        <v>30829.816</v>
      </c>
      <c r="O24" s="2">
        <v>790263.676</v>
      </c>
      <c r="P24" s="2">
        <f>1752451.478+2089.193</f>
        <v>1754540.6709999999</v>
      </c>
      <c r="Q24" s="2">
        <v>974825.435</v>
      </c>
      <c r="R24" s="2">
        <v>872687.396</v>
      </c>
      <c r="S24" s="2">
        <v>220989.967</v>
      </c>
      <c r="T24" s="2">
        <v>656489.667</v>
      </c>
      <c r="U24" s="2">
        <v>11615.912</v>
      </c>
      <c r="V24" s="2"/>
      <c r="W24" s="2">
        <v>43850.756</v>
      </c>
      <c r="X24" s="2">
        <v>548823.776</v>
      </c>
      <c r="Y24" s="2">
        <v>85692</v>
      </c>
      <c r="Z24" s="2">
        <v>0</v>
      </c>
      <c r="AA24" s="2">
        <v>523267.481</v>
      </c>
      <c r="AB24" s="2">
        <v>3223.783</v>
      </c>
      <c r="AC24" s="2">
        <v>74950.653</v>
      </c>
      <c r="AD24" s="2">
        <v>0</v>
      </c>
      <c r="AE24" s="2">
        <f>165666.999+284200.249</f>
        <v>449867.248</v>
      </c>
      <c r="AF24" s="2">
        <f>18502.085+38027.138</f>
        <v>56529.223</v>
      </c>
      <c r="AG24" s="2">
        <v>282301.455</v>
      </c>
      <c r="AH24" s="2">
        <v>276571.973</v>
      </c>
      <c r="AI24" s="2">
        <v>9971.16</v>
      </c>
      <c r="AJ24" s="2">
        <v>1254.212</v>
      </c>
      <c r="AK24" s="2">
        <v>13.571</v>
      </c>
      <c r="AL24" s="2">
        <v>0</v>
      </c>
      <c r="AM24" s="2">
        <v>445.392</v>
      </c>
      <c r="AN24" s="2">
        <v>9382.963</v>
      </c>
      <c r="AO24" s="2">
        <v>13760.263</v>
      </c>
      <c r="AP24" s="2">
        <f>40834.481+1401.1</f>
        <v>42235.581</v>
      </c>
      <c r="AQ24" s="2">
        <v>676.103</v>
      </c>
      <c r="AR24" s="2">
        <v>188.763</v>
      </c>
      <c r="AS24" s="2">
        <v>52340.371</v>
      </c>
      <c r="AT24" s="2">
        <v>3211.136</v>
      </c>
      <c r="AU24" s="2">
        <v>0</v>
      </c>
      <c r="AV24" s="2">
        <v>0</v>
      </c>
      <c r="AW24" s="2">
        <v>0</v>
      </c>
      <c r="AX24" s="2">
        <v>359.497</v>
      </c>
      <c r="AY24" s="2">
        <v>739.339</v>
      </c>
      <c r="AZ24" s="2">
        <v>6405.159</v>
      </c>
      <c r="BA24" s="2">
        <v>28.8</v>
      </c>
      <c r="BB24" s="2">
        <v>0</v>
      </c>
      <c r="BC24" s="2">
        <v>0</v>
      </c>
      <c r="BD24" s="2">
        <v>715.5</v>
      </c>
      <c r="BE24" s="2">
        <v>0</v>
      </c>
      <c r="BF24" s="2">
        <v>0</v>
      </c>
      <c r="BG24" s="2">
        <v>0</v>
      </c>
      <c r="BH24" s="2">
        <v>0</v>
      </c>
      <c r="BI24" s="2">
        <v>0</v>
      </c>
      <c r="BK24" s="2">
        <f t="shared" si="5"/>
        <v>28730678.465000007</v>
      </c>
      <c r="BL24" s="2"/>
      <c r="BM24" s="2">
        <f t="shared" si="0"/>
        <v>387651.54699999996</v>
      </c>
      <c r="BN24" s="2">
        <f t="shared" si="6"/>
        <v>28343026.918000005</v>
      </c>
      <c r="BO24" s="2"/>
      <c r="BP24" s="41"/>
    </row>
    <row r="25" spans="1:68" ht="12.75">
      <c r="A25" s="25" t="s">
        <v>311</v>
      </c>
      <c r="B25" s="2">
        <v>1951.277</v>
      </c>
      <c r="C25" s="2">
        <v>244.026</v>
      </c>
      <c r="D25" s="2">
        <v>289.502</v>
      </c>
      <c r="E25" s="2">
        <v>3991.883</v>
      </c>
      <c r="F25" s="2">
        <v>1926.838</v>
      </c>
      <c r="G25" s="2">
        <v>0</v>
      </c>
      <c r="H25" s="2">
        <v>0</v>
      </c>
      <c r="I25" s="2">
        <v>0</v>
      </c>
      <c r="J25" s="2">
        <v>-2362.297</v>
      </c>
      <c r="K25" s="2">
        <v>0</v>
      </c>
      <c r="L25" s="2">
        <v>0</v>
      </c>
      <c r="M25" s="2">
        <v>970.994</v>
      </c>
      <c r="N25" s="2">
        <v>0</v>
      </c>
      <c r="O25" s="2">
        <v>0</v>
      </c>
      <c r="P25" s="2">
        <v>2052.508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>
        <v>0</v>
      </c>
      <c r="AI25" s="2">
        <v>0</v>
      </c>
      <c r="AJ25" s="2">
        <v>0</v>
      </c>
      <c r="AK25" s="2">
        <v>360</v>
      </c>
      <c r="AL25" s="2">
        <v>0</v>
      </c>
      <c r="AM25" s="2">
        <v>0</v>
      </c>
      <c r="AN25" s="2">
        <v>0</v>
      </c>
      <c r="AO25" s="2">
        <v>0</v>
      </c>
      <c r="AP25" s="2">
        <v>0</v>
      </c>
      <c r="AQ25" s="2">
        <v>0</v>
      </c>
      <c r="AR25" s="2">
        <v>0</v>
      </c>
      <c r="AS25" s="2">
        <v>0</v>
      </c>
      <c r="AT25" s="2">
        <v>-166.517</v>
      </c>
      <c r="AU25" s="2">
        <v>0</v>
      </c>
      <c r="AV25" s="2">
        <v>0</v>
      </c>
      <c r="AW25" s="2">
        <v>0</v>
      </c>
      <c r="AX25" s="2">
        <v>0</v>
      </c>
      <c r="AY25" s="2">
        <v>0</v>
      </c>
      <c r="AZ25" s="2">
        <v>0</v>
      </c>
      <c r="BA25" s="2">
        <v>0</v>
      </c>
      <c r="BB25" s="2">
        <v>0</v>
      </c>
      <c r="BC25" s="2">
        <v>0</v>
      </c>
      <c r="BD25" s="2">
        <v>0</v>
      </c>
      <c r="BE25" s="2">
        <v>0</v>
      </c>
      <c r="BF25" s="2">
        <v>0</v>
      </c>
      <c r="BG25" s="2">
        <v>0</v>
      </c>
      <c r="BH25" s="2">
        <v>0</v>
      </c>
      <c r="BI25" s="2">
        <v>0</v>
      </c>
      <c r="BK25" s="2">
        <f t="shared" si="5"/>
        <v>9258.214</v>
      </c>
      <c r="BL25" s="2"/>
      <c r="BM25" s="2">
        <f t="shared" si="0"/>
        <v>244.026</v>
      </c>
      <c r="BN25" s="2">
        <f t="shared" si="6"/>
        <v>9014.187999999998</v>
      </c>
      <c r="BO25" s="2"/>
      <c r="BP25" s="41"/>
    </row>
    <row r="26" spans="1:68" ht="12.75">
      <c r="A26" s="25" t="s">
        <v>297</v>
      </c>
      <c r="B26" s="2">
        <v>5632788.025</v>
      </c>
      <c r="C26" s="2">
        <v>6965198.824</v>
      </c>
      <c r="D26" s="2">
        <v>3332163.009</v>
      </c>
      <c r="E26" s="2">
        <v>5578330.961</v>
      </c>
      <c r="F26" s="2">
        <v>5179760.453</v>
      </c>
      <c r="G26" s="2">
        <f>1146968.389</f>
        <v>1146968.389</v>
      </c>
      <c r="H26" s="2">
        <v>2134140.144</v>
      </c>
      <c r="I26" s="2">
        <v>279501.039</v>
      </c>
      <c r="J26" s="2">
        <v>1133261.248</v>
      </c>
      <c r="K26" s="2">
        <v>1854017.249</v>
      </c>
      <c r="L26" s="2">
        <v>1714167.334</v>
      </c>
      <c r="M26" s="2">
        <v>894145.921</v>
      </c>
      <c r="N26" s="2">
        <v>1578595.353</v>
      </c>
      <c r="O26" s="2">
        <v>1307384.741</v>
      </c>
      <c r="P26" s="2">
        <f>469927.093+507.22</f>
        <v>470434.31299999997</v>
      </c>
      <c r="Q26" s="2">
        <v>289961.843</v>
      </c>
      <c r="R26" s="2">
        <v>660166.121</v>
      </c>
      <c r="S26" s="2">
        <v>760396.075</v>
      </c>
      <c r="T26" s="2">
        <v>610562.41</v>
      </c>
      <c r="U26" s="2">
        <v>711926.196</v>
      </c>
      <c r="V26" s="2">
        <v>786611.472</v>
      </c>
      <c r="W26" s="2">
        <v>703607.168</v>
      </c>
      <c r="X26" s="2">
        <v>507660.913</v>
      </c>
      <c r="Y26" s="2">
        <v>530073</v>
      </c>
      <c r="Z26" s="2">
        <v>653228.18</v>
      </c>
      <c r="AA26" s="2">
        <v>320038.466</v>
      </c>
      <c r="AB26" s="2">
        <v>420663.238</v>
      </c>
      <c r="AC26" s="2">
        <v>287033.659</v>
      </c>
      <c r="AD26" s="2">
        <f>218249.206+61300.544</f>
        <v>279549.75</v>
      </c>
      <c r="AE26" s="2">
        <f>197711.038</f>
        <v>197711.038</v>
      </c>
      <c r="AF26" s="2">
        <v>297891.093</v>
      </c>
      <c r="AG26" s="2">
        <v>228374.749</v>
      </c>
      <c r="AH26" s="2">
        <v>0</v>
      </c>
      <c r="AI26" s="2">
        <v>241262.52</v>
      </c>
      <c r="AJ26" s="2">
        <v>268993.497</v>
      </c>
      <c r="AK26" s="2">
        <v>167552.449</v>
      </c>
      <c r="AL26" s="2">
        <v>167194.901</v>
      </c>
      <c r="AM26" s="2">
        <v>189743.026</v>
      </c>
      <c r="AN26" s="2">
        <v>144460.342</v>
      </c>
      <c r="AO26" s="2">
        <v>141398.78</v>
      </c>
      <c r="AP26" s="2">
        <f>111694.654+3640.431</f>
        <v>115335.08499999999</v>
      </c>
      <c r="AQ26" s="2">
        <v>167969.027</v>
      </c>
      <c r="AR26" s="2">
        <v>185646.145</v>
      </c>
      <c r="AS26" s="2">
        <v>84277.954</v>
      </c>
      <c r="AT26" s="2">
        <v>96410.341</v>
      </c>
      <c r="AU26" s="2">
        <v>69876.569</v>
      </c>
      <c r="AV26" s="2">
        <f>88531.67+1.829</f>
        <v>88533.499</v>
      </c>
      <c r="AW26" s="2">
        <v>40321.561</v>
      </c>
      <c r="AX26" s="2">
        <v>67771.697</v>
      </c>
      <c r="AY26" s="2">
        <f>52246.413</f>
        <v>52246.413</v>
      </c>
      <c r="AZ26" s="2">
        <v>41365.492</v>
      </c>
      <c r="BA26" s="2">
        <v>47696.254</v>
      </c>
      <c r="BB26" s="2">
        <v>28073.587</v>
      </c>
      <c r="BC26" s="2">
        <v>21950.06</v>
      </c>
      <c r="BD26" s="2">
        <v>14790.772</v>
      </c>
      <c r="BE26" s="2">
        <v>13216.591</v>
      </c>
      <c r="BF26" s="2">
        <v>12233.494</v>
      </c>
      <c r="BG26" s="2">
        <v>8288.715</v>
      </c>
      <c r="BH26" s="2">
        <v>3955.795</v>
      </c>
      <c r="BI26" s="2">
        <f>860.041+64.156</f>
        <v>924.1970000000001</v>
      </c>
      <c r="BK26" s="2">
        <f t="shared" si="5"/>
        <v>49927801.13700002</v>
      </c>
      <c r="BL26" s="2"/>
      <c r="BM26" s="2">
        <f t="shared" si="0"/>
        <v>8591366.714</v>
      </c>
      <c r="BN26" s="2">
        <f t="shared" si="6"/>
        <v>41336434.423000015</v>
      </c>
      <c r="BO26" s="2"/>
      <c r="BP26" s="41"/>
    </row>
    <row r="27" spans="1:68" ht="12.75">
      <c r="A27" s="25" t="s">
        <v>356</v>
      </c>
      <c r="B27" s="2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2">
        <v>0</v>
      </c>
      <c r="X27" s="2">
        <v>0</v>
      </c>
      <c r="Y27" s="2">
        <v>0</v>
      </c>
      <c r="Z27" s="2">
        <v>0</v>
      </c>
      <c r="AA27" s="2">
        <v>0</v>
      </c>
      <c r="AB27" s="2">
        <v>0</v>
      </c>
      <c r="AC27" s="2">
        <v>0</v>
      </c>
      <c r="AD27" s="2">
        <v>0</v>
      </c>
      <c r="AE27" s="2">
        <v>0</v>
      </c>
      <c r="AF27" s="2">
        <v>0</v>
      </c>
      <c r="AG27" s="2">
        <v>0</v>
      </c>
      <c r="AH27" s="2">
        <v>0</v>
      </c>
      <c r="AI27" s="2">
        <v>0</v>
      </c>
      <c r="AJ27" s="2">
        <v>0</v>
      </c>
      <c r="AK27" s="2">
        <v>85.74</v>
      </c>
      <c r="AL27" s="2">
        <v>0</v>
      </c>
      <c r="AM27" s="2">
        <v>0</v>
      </c>
      <c r="AN27" s="2">
        <v>0</v>
      </c>
      <c r="AO27" s="2">
        <v>0</v>
      </c>
      <c r="AP27" s="2">
        <v>0</v>
      </c>
      <c r="AQ27" s="2">
        <v>0</v>
      </c>
      <c r="AR27" s="2">
        <v>0</v>
      </c>
      <c r="AS27" s="2">
        <v>0</v>
      </c>
      <c r="AT27" s="2">
        <v>0</v>
      </c>
      <c r="AU27" s="2">
        <v>0</v>
      </c>
      <c r="AV27" s="2">
        <v>0</v>
      </c>
      <c r="AW27" s="2">
        <v>0</v>
      </c>
      <c r="AX27" s="2">
        <v>0</v>
      </c>
      <c r="AY27" s="2">
        <v>0</v>
      </c>
      <c r="AZ27" s="2">
        <v>0</v>
      </c>
      <c r="BA27" s="2">
        <v>0</v>
      </c>
      <c r="BB27" s="2">
        <v>0</v>
      </c>
      <c r="BC27" s="2">
        <v>0</v>
      </c>
      <c r="BD27" s="2">
        <v>0</v>
      </c>
      <c r="BE27" s="2">
        <v>0</v>
      </c>
      <c r="BF27" s="2">
        <v>0</v>
      </c>
      <c r="BG27" s="2">
        <v>0</v>
      </c>
      <c r="BH27" s="2">
        <v>0</v>
      </c>
      <c r="BI27" s="2">
        <v>0</v>
      </c>
      <c r="BK27" s="2">
        <f t="shared" si="5"/>
        <v>85.74</v>
      </c>
      <c r="BL27" s="2"/>
      <c r="BM27" s="2">
        <f t="shared" si="0"/>
        <v>0</v>
      </c>
      <c r="BN27" s="2">
        <f t="shared" si="6"/>
        <v>85.74</v>
      </c>
      <c r="BO27" s="2"/>
      <c r="BP27" s="41"/>
    </row>
    <row r="28" spans="1:68" ht="12.75">
      <c r="A28" s="25" t="s">
        <v>296</v>
      </c>
      <c r="B28" s="2">
        <v>0</v>
      </c>
      <c r="C28" s="2">
        <v>0</v>
      </c>
      <c r="D28" s="2">
        <v>0</v>
      </c>
      <c r="E28" s="2">
        <v>5743.398</v>
      </c>
      <c r="F28" s="2">
        <v>0</v>
      </c>
      <c r="G28" s="2">
        <v>0</v>
      </c>
      <c r="H28" s="2">
        <v>0</v>
      </c>
      <c r="I28" s="2">
        <v>0</v>
      </c>
      <c r="J28" s="2">
        <v>-2930.325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21445.538</v>
      </c>
      <c r="Q28" s="2">
        <v>0</v>
      </c>
      <c r="R28" s="2">
        <v>0</v>
      </c>
      <c r="S28" s="2">
        <v>0</v>
      </c>
      <c r="T28" s="2">
        <v>637.176</v>
      </c>
      <c r="U28" s="2">
        <v>0</v>
      </c>
      <c r="V28" s="2">
        <v>0</v>
      </c>
      <c r="W28" s="2">
        <v>502.661</v>
      </c>
      <c r="X28" s="2">
        <v>0</v>
      </c>
      <c r="Y28" s="2">
        <v>0</v>
      </c>
      <c r="Z28" s="2">
        <v>0</v>
      </c>
      <c r="AA28" s="2">
        <v>630</v>
      </c>
      <c r="AB28" s="2">
        <v>0</v>
      </c>
      <c r="AC28" s="2">
        <v>0</v>
      </c>
      <c r="AD28" s="2">
        <v>0</v>
      </c>
      <c r="AE28" s="2">
        <v>0</v>
      </c>
      <c r="AF28" s="2">
        <v>0</v>
      </c>
      <c r="AG28" s="2">
        <v>0</v>
      </c>
      <c r="AH28" s="2">
        <v>0</v>
      </c>
      <c r="AI28" s="2">
        <v>0</v>
      </c>
      <c r="AJ28" s="2">
        <v>2303.614</v>
      </c>
      <c r="AK28" s="2">
        <v>0</v>
      </c>
      <c r="AL28" s="2">
        <v>0</v>
      </c>
      <c r="AM28" s="2">
        <v>0</v>
      </c>
      <c r="AN28" s="2">
        <v>0</v>
      </c>
      <c r="AO28" s="2">
        <v>0</v>
      </c>
      <c r="AP28" s="2">
        <v>0</v>
      </c>
      <c r="AQ28" s="2">
        <v>0</v>
      </c>
      <c r="AR28" s="2">
        <v>0</v>
      </c>
      <c r="AS28" s="2">
        <v>0</v>
      </c>
      <c r="AT28" s="2">
        <v>0</v>
      </c>
      <c r="AU28" s="2">
        <v>0</v>
      </c>
      <c r="AV28" s="2">
        <v>0</v>
      </c>
      <c r="AW28" s="2">
        <v>0</v>
      </c>
      <c r="AX28" s="2">
        <v>0</v>
      </c>
      <c r="AY28" s="2">
        <v>0</v>
      </c>
      <c r="AZ28" s="2">
        <v>0</v>
      </c>
      <c r="BA28" s="2">
        <v>0</v>
      </c>
      <c r="BB28" s="2">
        <v>0</v>
      </c>
      <c r="BC28" s="2">
        <v>0</v>
      </c>
      <c r="BD28" s="2">
        <v>0</v>
      </c>
      <c r="BE28" s="2">
        <v>0</v>
      </c>
      <c r="BF28" s="2">
        <v>0</v>
      </c>
      <c r="BG28" s="2">
        <v>0</v>
      </c>
      <c r="BH28" s="2">
        <v>0</v>
      </c>
      <c r="BI28" s="2">
        <v>0</v>
      </c>
      <c r="BK28" s="2">
        <f t="shared" si="5"/>
        <v>28332.062</v>
      </c>
      <c r="BL28" s="2"/>
      <c r="BM28" s="2">
        <f t="shared" si="0"/>
        <v>0</v>
      </c>
      <c r="BN28" s="2">
        <f t="shared" si="6"/>
        <v>28332.062</v>
      </c>
      <c r="BO28" s="2"/>
      <c r="BP28" s="41"/>
    </row>
    <row r="29" spans="1:68" ht="12.75">
      <c r="A29" s="25" t="s">
        <v>454</v>
      </c>
      <c r="B29" s="2">
        <v>0</v>
      </c>
      <c r="C29" s="2">
        <v>0</v>
      </c>
      <c r="D29" s="2">
        <v>-20000</v>
      </c>
      <c r="E29" s="2">
        <v>-12812.075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28897.596</v>
      </c>
      <c r="L29" s="2">
        <v>0</v>
      </c>
      <c r="M29" s="116">
        <v>-35185.315</v>
      </c>
      <c r="N29" s="2">
        <v>-1996.071</v>
      </c>
      <c r="O29" s="2">
        <v>-2519.076</v>
      </c>
      <c r="P29" s="2">
        <v>0</v>
      </c>
      <c r="Q29" s="116">
        <v>-794.931</v>
      </c>
      <c r="R29" s="2">
        <v>0</v>
      </c>
      <c r="S29" s="116">
        <v>283.724</v>
      </c>
      <c r="T29" s="2">
        <v>-303.828</v>
      </c>
      <c r="U29" s="2">
        <v>0</v>
      </c>
      <c r="V29" s="2">
        <v>0</v>
      </c>
      <c r="W29" s="2">
        <v>-289.961</v>
      </c>
      <c r="X29" s="2">
        <v>0</v>
      </c>
      <c r="Y29" s="2">
        <v>0</v>
      </c>
      <c r="Z29" s="2">
        <v>-2774.28</v>
      </c>
      <c r="AA29" s="2">
        <v>0</v>
      </c>
      <c r="AB29" s="2">
        <v>0</v>
      </c>
      <c r="AC29" s="2">
        <v>-8146.856</v>
      </c>
      <c r="AD29" s="2">
        <v>99.021</v>
      </c>
      <c r="AE29" s="2">
        <v>-2089.318</v>
      </c>
      <c r="AF29" s="2">
        <v>0</v>
      </c>
      <c r="AG29" s="2">
        <v>0</v>
      </c>
      <c r="AH29" s="2">
        <v>0</v>
      </c>
      <c r="AI29" s="2">
        <v>0</v>
      </c>
      <c r="AJ29" s="116">
        <v>-361.669</v>
      </c>
      <c r="AK29" s="2">
        <v>0</v>
      </c>
      <c r="AL29" s="2">
        <v>0</v>
      </c>
      <c r="AM29" s="2">
        <v>0</v>
      </c>
      <c r="AN29" s="2">
        <v>0</v>
      </c>
      <c r="AO29" s="2">
        <v>-788.829</v>
      </c>
      <c r="AP29" s="2">
        <f>-10263.995-856.63</f>
        <v>-11120.625</v>
      </c>
      <c r="AQ29" s="116">
        <v>-385.05</v>
      </c>
      <c r="AR29" s="2">
        <v>0</v>
      </c>
      <c r="AS29" s="2">
        <v>0</v>
      </c>
      <c r="AT29" s="2">
        <v>0</v>
      </c>
      <c r="AU29" s="2">
        <v>0</v>
      </c>
      <c r="AV29" s="116">
        <v>-1976.832</v>
      </c>
      <c r="AW29" s="2">
        <v>0</v>
      </c>
      <c r="AX29" s="116">
        <v>-321.228</v>
      </c>
      <c r="AY29" s="2">
        <v>0</v>
      </c>
      <c r="AZ29" s="2">
        <v>0</v>
      </c>
      <c r="BA29" s="2">
        <v>0</v>
      </c>
      <c r="BB29" s="2">
        <v>0</v>
      </c>
      <c r="BC29" s="2">
        <v>0</v>
      </c>
      <c r="BD29" s="2">
        <v>0</v>
      </c>
      <c r="BE29" s="2">
        <v>80</v>
      </c>
      <c r="BF29" s="2">
        <v>0</v>
      </c>
      <c r="BG29" s="2">
        <v>0</v>
      </c>
      <c r="BH29" s="2">
        <v>0</v>
      </c>
      <c r="BI29" s="2">
        <v>0</v>
      </c>
      <c r="BK29" s="2">
        <f t="shared" si="5"/>
        <v>-72505.60299999999</v>
      </c>
      <c r="BL29" s="2"/>
      <c r="BM29" s="2">
        <f t="shared" si="0"/>
        <v>-10941.604</v>
      </c>
      <c r="BN29" s="2">
        <f t="shared" si="6"/>
        <v>-61563.998999999996</v>
      </c>
      <c r="BO29" s="2"/>
      <c r="BP29" s="41"/>
    </row>
    <row r="30" spans="1:68" ht="12.75">
      <c r="A30" s="25" t="s">
        <v>455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106603.808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2">
        <v>0</v>
      </c>
      <c r="X30" s="2">
        <v>0</v>
      </c>
      <c r="Y30" s="2">
        <v>0</v>
      </c>
      <c r="Z30" s="2">
        <v>0</v>
      </c>
      <c r="AA30" s="2">
        <v>0</v>
      </c>
      <c r="AB30" s="2">
        <v>0</v>
      </c>
      <c r="AC30" s="2">
        <v>0</v>
      </c>
      <c r="AD30" s="2">
        <v>0</v>
      </c>
      <c r="AE30" s="2">
        <v>0</v>
      </c>
      <c r="AF30" s="2">
        <v>0</v>
      </c>
      <c r="AG30" s="2">
        <v>0</v>
      </c>
      <c r="AH30" s="2">
        <v>0</v>
      </c>
      <c r="AI30" s="2">
        <v>0</v>
      </c>
      <c r="AJ30" s="2">
        <v>0</v>
      </c>
      <c r="AK30" s="2">
        <v>0</v>
      </c>
      <c r="AL30" s="2">
        <v>0</v>
      </c>
      <c r="AM30" s="2">
        <v>0</v>
      </c>
      <c r="AN30" s="2">
        <v>0</v>
      </c>
      <c r="AO30" s="2">
        <v>0</v>
      </c>
      <c r="AP30" s="2">
        <v>0</v>
      </c>
      <c r="AQ30" s="2">
        <v>0</v>
      </c>
      <c r="AR30" s="2">
        <v>0</v>
      </c>
      <c r="AS30" s="2">
        <v>0</v>
      </c>
      <c r="AT30" s="2">
        <v>0</v>
      </c>
      <c r="AU30" s="2">
        <v>0</v>
      </c>
      <c r="AV30" s="2">
        <v>0</v>
      </c>
      <c r="AW30" s="2">
        <v>0</v>
      </c>
      <c r="AX30" s="2">
        <v>0</v>
      </c>
      <c r="AY30" s="2">
        <v>0</v>
      </c>
      <c r="AZ30" s="2">
        <v>0</v>
      </c>
      <c r="BA30" s="2">
        <v>0</v>
      </c>
      <c r="BB30" s="2">
        <v>0</v>
      </c>
      <c r="BC30" s="2">
        <v>0</v>
      </c>
      <c r="BD30" s="2">
        <v>0</v>
      </c>
      <c r="BE30" s="2">
        <v>0</v>
      </c>
      <c r="BF30" s="2">
        <v>0</v>
      </c>
      <c r="BG30" s="2">
        <v>0</v>
      </c>
      <c r="BH30" s="2">
        <v>0</v>
      </c>
      <c r="BI30" s="2">
        <v>0</v>
      </c>
      <c r="BK30" s="2">
        <f t="shared" si="5"/>
        <v>106603.808</v>
      </c>
      <c r="BL30" s="2"/>
      <c r="BM30" s="2">
        <f t="shared" si="0"/>
        <v>0</v>
      </c>
      <c r="BN30" s="2">
        <f t="shared" si="6"/>
        <v>106603.808</v>
      </c>
      <c r="BO30" s="2"/>
      <c r="BP30" s="41"/>
    </row>
    <row r="31" spans="1:68" ht="12.75">
      <c r="A31" s="25" t="s">
        <v>295</v>
      </c>
      <c r="B31" s="2">
        <v>-2741959.211</v>
      </c>
      <c r="C31" s="2">
        <v>-2725909.867</v>
      </c>
      <c r="D31" s="2">
        <v>-2244501.395</v>
      </c>
      <c r="E31" s="2">
        <v>-1914615.397</v>
      </c>
      <c r="F31" s="2">
        <v>-1932978.854</v>
      </c>
      <c r="G31" s="2">
        <v>-914523.552</v>
      </c>
      <c r="H31" s="2">
        <v>-833373.665</v>
      </c>
      <c r="I31" s="2">
        <v>-856489.934</v>
      </c>
      <c r="J31" s="2">
        <v>-671040.111</v>
      </c>
      <c r="K31" s="2">
        <v>-705916.455</v>
      </c>
      <c r="L31" s="2">
        <v>-674409.353</v>
      </c>
      <c r="M31" s="2">
        <v>-598008.072</v>
      </c>
      <c r="N31" s="2">
        <v>-580475.226</v>
      </c>
      <c r="O31" s="2">
        <v>-553480.427</v>
      </c>
      <c r="P31" s="2">
        <f>-481474.197-860.88</f>
        <v>-482335.077</v>
      </c>
      <c r="Q31" s="2">
        <v>-488205.987</v>
      </c>
      <c r="R31" s="2">
        <v>-467453.462</v>
      </c>
      <c r="S31" s="2">
        <v>-351921.024</v>
      </c>
      <c r="T31" s="2">
        <v>-333747.799</v>
      </c>
      <c r="U31" s="2">
        <v>-300904.287</v>
      </c>
      <c r="V31" s="2">
        <v>-296408.27</v>
      </c>
      <c r="W31" s="2">
        <v>-312155.097</v>
      </c>
      <c r="X31" s="2">
        <v>-309756.655</v>
      </c>
      <c r="Y31" s="2">
        <v>-200740</v>
      </c>
      <c r="Z31" s="2">
        <v>-250473.265</v>
      </c>
      <c r="AA31" s="2">
        <v>-241332.63</v>
      </c>
      <c r="AB31" s="2">
        <v>-152909.336</v>
      </c>
      <c r="AC31" s="2">
        <v>-153632.743</v>
      </c>
      <c r="AD31" s="2">
        <v>-155272.095</v>
      </c>
      <c r="AE31" s="2">
        <v>-136182.486</v>
      </c>
      <c r="AF31" s="2">
        <v>-145791.193</v>
      </c>
      <c r="AG31" s="2">
        <v>-137603.292</v>
      </c>
      <c r="AH31" s="2">
        <v>-130402.906</v>
      </c>
      <c r="AI31" s="2">
        <v>-99642.818</v>
      </c>
      <c r="AJ31" s="2">
        <v>-99164.806</v>
      </c>
      <c r="AK31" s="2">
        <v>-82944.11</v>
      </c>
      <c r="AL31" s="2">
        <v>-77620.873</v>
      </c>
      <c r="AM31" s="2">
        <v>-77692.084</v>
      </c>
      <c r="AN31" s="2">
        <v>-63789.555</v>
      </c>
      <c r="AO31" s="2">
        <v>-60452.85</v>
      </c>
      <c r="AP31" s="2">
        <f>-54761.43-2962.623</f>
        <v>-57724.053</v>
      </c>
      <c r="AQ31" s="2">
        <v>-52646.603</v>
      </c>
      <c r="AR31" s="2">
        <v>-34428.503</v>
      </c>
      <c r="AS31" s="2">
        <v>-50176.592</v>
      </c>
      <c r="AT31" s="2">
        <v>-47674.764</v>
      </c>
      <c r="AU31" s="2">
        <v>-37214.417</v>
      </c>
      <c r="AV31" s="2">
        <v>-34986.773</v>
      </c>
      <c r="AW31" s="2">
        <v>-16959.521</v>
      </c>
      <c r="AX31" s="2">
        <v>-30237.281</v>
      </c>
      <c r="AY31" s="2">
        <v>-24384.45</v>
      </c>
      <c r="AZ31" s="2">
        <v>-22477.697</v>
      </c>
      <c r="BA31" s="2">
        <v>-21963.814</v>
      </c>
      <c r="BB31" s="2">
        <v>-14140.371</v>
      </c>
      <c r="BC31" s="2">
        <v>-9085.713</v>
      </c>
      <c r="BD31" s="2">
        <v>-8629.28</v>
      </c>
      <c r="BE31" s="2">
        <v>-9160.879</v>
      </c>
      <c r="BF31" s="2">
        <v>21.105</v>
      </c>
      <c r="BG31" s="2">
        <v>-4633.542</v>
      </c>
      <c r="BH31" s="2">
        <v>-1976.605</v>
      </c>
      <c r="BI31" s="2">
        <v>-574.334</v>
      </c>
      <c r="BK31" s="2">
        <f t="shared" si="5"/>
        <v>-24035270.305999994</v>
      </c>
      <c r="BL31" s="2"/>
      <c r="BM31" s="2">
        <f t="shared" si="0"/>
        <v>-3592899.0450000004</v>
      </c>
      <c r="BN31" s="2">
        <f t="shared" si="6"/>
        <v>-20442371.260999992</v>
      </c>
      <c r="BO31" s="2"/>
      <c r="BP31" s="41"/>
    </row>
    <row r="32" spans="1:68" ht="4.5" customHeight="1">
      <c r="A32" s="24"/>
      <c r="BK32" s="2"/>
      <c r="BL32" s="2"/>
      <c r="BM32" s="2"/>
      <c r="BN32" s="2"/>
      <c r="BP32" s="41"/>
    </row>
    <row r="33" spans="1:68" ht="12.75">
      <c r="A33" s="45" t="s">
        <v>307</v>
      </c>
      <c r="B33" s="41">
        <f aca="true" t="shared" si="7" ref="B33:AG33">SUM(B22:B31)</f>
        <v>8694691.806000002</v>
      </c>
      <c r="C33" s="41">
        <f t="shared" si="7"/>
        <v>4239532.982999999</v>
      </c>
      <c r="D33" s="41">
        <f t="shared" si="7"/>
        <v>5748084.261</v>
      </c>
      <c r="E33" s="41">
        <f t="shared" si="7"/>
        <v>5847567.592</v>
      </c>
      <c r="F33" s="41">
        <f t="shared" si="7"/>
        <v>4175422.4959999993</v>
      </c>
      <c r="G33" s="41">
        <f t="shared" si="7"/>
        <v>2525902.006</v>
      </c>
      <c r="H33" s="41">
        <f t="shared" si="7"/>
        <v>1672706.614</v>
      </c>
      <c r="I33" s="41">
        <f t="shared" si="7"/>
        <v>1165127.5</v>
      </c>
      <c r="J33" s="41">
        <f t="shared" si="7"/>
        <v>1670959.8299999996</v>
      </c>
      <c r="K33" s="41">
        <f t="shared" si="7"/>
        <v>1729041.2229999998</v>
      </c>
      <c r="L33" s="41">
        <f t="shared" si="7"/>
        <v>1079392.7600000002</v>
      </c>
      <c r="M33" s="41">
        <f t="shared" si="7"/>
        <v>1491246.736</v>
      </c>
      <c r="N33" s="41">
        <f t="shared" si="7"/>
        <v>1026953.872</v>
      </c>
      <c r="O33" s="41">
        <f t="shared" si="7"/>
        <v>1541648.9139999999</v>
      </c>
      <c r="P33" s="41">
        <f t="shared" si="7"/>
        <v>1766137.9529999997</v>
      </c>
      <c r="Q33" s="41">
        <f t="shared" si="7"/>
        <v>775786.3599999999</v>
      </c>
      <c r="R33" s="41">
        <f t="shared" si="7"/>
        <v>1065400.055</v>
      </c>
      <c r="S33" s="41">
        <f t="shared" si="7"/>
        <v>629748.742</v>
      </c>
      <c r="T33" s="41">
        <f t="shared" si="7"/>
        <v>933637.626</v>
      </c>
      <c r="U33" s="41">
        <f t="shared" si="7"/>
        <v>422637.821</v>
      </c>
      <c r="V33" s="41">
        <f t="shared" si="7"/>
        <v>490203.20199999993</v>
      </c>
      <c r="W33" s="41">
        <f t="shared" si="7"/>
        <v>435515.52699999994</v>
      </c>
      <c r="X33" s="41">
        <f t="shared" si="7"/>
        <v>746728.034</v>
      </c>
      <c r="Y33" s="41">
        <f t="shared" si="7"/>
        <v>415025</v>
      </c>
      <c r="Z33" s="41">
        <f t="shared" si="7"/>
        <v>399980.635</v>
      </c>
      <c r="AA33" s="41">
        <f t="shared" si="7"/>
        <v>602603.317</v>
      </c>
      <c r="AB33" s="41">
        <f t="shared" si="7"/>
        <v>270977.685</v>
      </c>
      <c r="AC33" s="41">
        <f t="shared" si="7"/>
        <v>200204.71300000002</v>
      </c>
      <c r="AD33" s="41">
        <f t="shared" si="7"/>
        <v>124376.676</v>
      </c>
      <c r="AE33" s="41">
        <f t="shared" si="7"/>
        <v>509306.4820000001</v>
      </c>
      <c r="AF33" s="41">
        <f t="shared" si="7"/>
        <v>208629.123</v>
      </c>
      <c r="AG33" s="41">
        <f t="shared" si="7"/>
        <v>373072.912</v>
      </c>
      <c r="AH33" s="41">
        <f aca="true" t="shared" si="8" ref="AH33:BH33">SUM(AH22:AH31)</f>
        <v>146169.06699999998</v>
      </c>
      <c r="AI33" s="41">
        <f t="shared" si="8"/>
        <v>151590.862</v>
      </c>
      <c r="AJ33" s="41">
        <f t="shared" si="8"/>
        <v>173024.848</v>
      </c>
      <c r="AK33" s="41">
        <f t="shared" si="8"/>
        <v>85067.64999999998</v>
      </c>
      <c r="AL33" s="41">
        <f>SUM(AL22:AL31)</f>
        <v>89574.028</v>
      </c>
      <c r="AM33" s="41">
        <f>SUM(AM22:AM31)</f>
        <v>112496.334</v>
      </c>
      <c r="AN33" s="41">
        <f t="shared" si="8"/>
        <v>90053.75</v>
      </c>
      <c r="AO33" s="41">
        <f t="shared" si="8"/>
        <v>93917.364</v>
      </c>
      <c r="AP33" s="41">
        <f t="shared" si="8"/>
        <v>88725.988</v>
      </c>
      <c r="AQ33" s="41">
        <f t="shared" si="8"/>
        <v>115613.47700000001</v>
      </c>
      <c r="AR33" s="41">
        <f>SUM(AR22:AR31)</f>
        <v>151406.405</v>
      </c>
      <c r="AS33" s="41">
        <f t="shared" si="8"/>
        <v>86441.73300000001</v>
      </c>
      <c r="AT33" s="41">
        <f t="shared" si="8"/>
        <v>51780.196</v>
      </c>
      <c r="AU33" s="41">
        <f t="shared" si="8"/>
        <v>32662.152000000002</v>
      </c>
      <c r="AV33" s="41">
        <f t="shared" si="8"/>
        <v>51569.894</v>
      </c>
      <c r="AW33" s="41">
        <f>SUM(AW22:AW31)</f>
        <v>23362.04</v>
      </c>
      <c r="AX33" s="41">
        <f t="shared" si="8"/>
        <v>37572.685</v>
      </c>
      <c r="AY33" s="41">
        <f t="shared" si="8"/>
        <v>28601.302</v>
      </c>
      <c r="AZ33" s="41">
        <f t="shared" si="8"/>
        <v>25292.953999999998</v>
      </c>
      <c r="BA33" s="41">
        <f t="shared" si="8"/>
        <v>25761.240000000005</v>
      </c>
      <c r="BB33" s="41">
        <f t="shared" si="8"/>
        <v>13933.216</v>
      </c>
      <c r="BC33" s="41">
        <f t="shared" si="8"/>
        <v>12864.347000000002</v>
      </c>
      <c r="BD33" s="41">
        <f t="shared" si="8"/>
        <v>6876.992</v>
      </c>
      <c r="BE33" s="41">
        <f t="shared" si="8"/>
        <v>4135.7119999999995</v>
      </c>
      <c r="BF33" s="41">
        <f>SUM(BF22:BF31)</f>
        <v>12254.599</v>
      </c>
      <c r="BG33" s="41">
        <f t="shared" si="8"/>
        <v>3655.173</v>
      </c>
      <c r="BH33" s="41">
        <f t="shared" si="8"/>
        <v>1979.19</v>
      </c>
      <c r="BI33" s="41">
        <f>SUM(BI22:BI31)</f>
        <v>349.86300000000017</v>
      </c>
      <c r="BK33" s="2">
        <f>SUM(B33:BJ33)</f>
        <v>54694983.51700001</v>
      </c>
      <c r="BL33" s="2"/>
      <c r="BM33" s="2">
        <f t="shared" si="0"/>
        <v>5375421.637999998</v>
      </c>
      <c r="BN33" s="2">
        <f>B33+D33+E33+F33+G33+H33+I33+J33+K33+L33+M33+N33+O33+P33+Q33+R33+S33+T33+U33+W33+X33+Y33+Z33+AA33+AB33+AC33+AE33+AF33+AG33+AI33+AJ33+AK33+AL33+AM33+AO33+AQ33+AT33+AV33+AX33+AY33+BA33+BC33+BH33+BI33+AR33+BF33</f>
        <v>49319561.879000016</v>
      </c>
      <c r="BO33" s="41"/>
      <c r="BP33" s="41"/>
    </row>
    <row r="34" spans="1:68" ht="8.25" customHeight="1">
      <c r="A34" s="26"/>
      <c r="BK34" s="2"/>
      <c r="BL34" s="2"/>
      <c r="BM34" s="2"/>
      <c r="BN34" s="2"/>
      <c r="BP34" s="41"/>
    </row>
    <row r="35" spans="1:68" ht="12.75">
      <c r="A35" s="26" t="s">
        <v>316</v>
      </c>
      <c r="BK35" s="2"/>
      <c r="BL35" s="2"/>
      <c r="BM35" s="2"/>
      <c r="BN35" s="2"/>
      <c r="BP35" s="41"/>
    </row>
    <row r="36" spans="1:68" ht="12.75">
      <c r="A36" s="25" t="s">
        <v>312</v>
      </c>
      <c r="B36" s="2">
        <v>79379.39</v>
      </c>
      <c r="C36" s="2">
        <v>36073.819</v>
      </c>
      <c r="D36" s="2">
        <v>31067.168</v>
      </c>
      <c r="E36" s="2">
        <v>56373.11</v>
      </c>
      <c r="F36" s="2">
        <v>16284.22</v>
      </c>
      <c r="G36" s="2">
        <v>17912.741</v>
      </c>
      <c r="H36" s="2">
        <v>16696.145</v>
      </c>
      <c r="I36" s="2">
        <v>3391.595</v>
      </c>
      <c r="J36" s="2">
        <v>19714.992</v>
      </c>
      <c r="K36" s="2">
        <v>21730.751</v>
      </c>
      <c r="L36" s="2">
        <v>26639.231</v>
      </c>
      <c r="M36" s="2">
        <v>13253.66</v>
      </c>
      <c r="N36" s="2">
        <v>3337.625</v>
      </c>
      <c r="O36" s="2">
        <v>15877.917</v>
      </c>
      <c r="P36" s="2">
        <v>15522.027</v>
      </c>
      <c r="Q36" s="2">
        <v>12599.953</v>
      </c>
      <c r="R36" s="2">
        <v>8964.002</v>
      </c>
      <c r="S36" s="2">
        <f>23981.208+3522.941</f>
        <v>27504.148999999998</v>
      </c>
      <c r="T36" s="2">
        <v>10320.997</v>
      </c>
      <c r="U36" s="2">
        <v>596.744</v>
      </c>
      <c r="V36" s="2">
        <v>3650.907</v>
      </c>
      <c r="W36" s="2">
        <v>3426.668</v>
      </c>
      <c r="X36" s="2">
        <v>0</v>
      </c>
      <c r="Y36" s="2">
        <v>17003</v>
      </c>
      <c r="Z36" s="2">
        <v>1555.765</v>
      </c>
      <c r="AA36" s="2">
        <v>8154.884</v>
      </c>
      <c r="AB36" s="2">
        <v>1054.401</v>
      </c>
      <c r="AC36" s="2">
        <v>6279.711</v>
      </c>
      <c r="AD36" s="2">
        <v>0</v>
      </c>
      <c r="AE36" s="2">
        <v>11679.937</v>
      </c>
      <c r="AF36" s="2">
        <v>1565.889</v>
      </c>
      <c r="AG36" s="2">
        <v>784</v>
      </c>
      <c r="AH36" s="2">
        <v>362.032</v>
      </c>
      <c r="AI36" s="2">
        <v>5167.529</v>
      </c>
      <c r="AJ36" s="2">
        <v>1674.033</v>
      </c>
      <c r="AK36" s="2">
        <v>4262.735</v>
      </c>
      <c r="AL36" s="2">
        <v>1332.182</v>
      </c>
      <c r="AM36" s="2">
        <v>0</v>
      </c>
      <c r="AN36" s="2">
        <v>2535.679</v>
      </c>
      <c r="AO36" s="2">
        <v>581.943</v>
      </c>
      <c r="AP36" s="2">
        <f>801.729+525.272</f>
        <v>1327.0010000000002</v>
      </c>
      <c r="AQ36" s="2">
        <v>5002.727</v>
      </c>
      <c r="AR36" s="2">
        <v>661.391</v>
      </c>
      <c r="AS36" s="2">
        <v>1291.286</v>
      </c>
      <c r="AT36" s="2">
        <v>82.734</v>
      </c>
      <c r="AU36" s="2">
        <v>630</v>
      </c>
      <c r="AV36" s="2">
        <v>320.726</v>
      </c>
      <c r="AW36" s="2">
        <v>1653.184</v>
      </c>
      <c r="AX36" s="2">
        <v>627.194</v>
      </c>
      <c r="AY36" s="2">
        <v>0</v>
      </c>
      <c r="AZ36" s="2">
        <v>531.495</v>
      </c>
      <c r="BA36" s="2">
        <v>155.326</v>
      </c>
      <c r="BB36" s="2">
        <v>0</v>
      </c>
      <c r="BC36" s="2">
        <v>968.384</v>
      </c>
      <c r="BD36" s="2">
        <v>562.916</v>
      </c>
      <c r="BE36" s="2">
        <v>0</v>
      </c>
      <c r="BF36" s="2">
        <v>405.855</v>
      </c>
      <c r="BG36" s="2">
        <v>0</v>
      </c>
      <c r="BH36" s="2">
        <v>0</v>
      </c>
      <c r="BI36" s="2">
        <v>0</v>
      </c>
      <c r="BK36" s="2">
        <f>SUM(B36:BJ36)</f>
        <v>518531.75000000006</v>
      </c>
      <c r="BL36" s="2"/>
      <c r="BM36" s="2">
        <f t="shared" si="0"/>
        <v>48618.31900000001</v>
      </c>
      <c r="BN36" s="2">
        <f>B36+D36+E36+F36+G36+H36+I36+J36+K36+L36+M36+N36+O36+P36+Q36+R36+S36+T36+U36+W36+X36+Y36+Z36+AA36+AB36+AC36+AE36+AF36+AG36+AI36+AJ36+AK36+AL36+AM36+AO36+AQ36+AT36+AV36+AX36+AY36+BA36+BC36+BH36+BI36+AR36+BF36</f>
        <v>469913.431</v>
      </c>
      <c r="BO36" s="2"/>
      <c r="BP36" s="41"/>
    </row>
    <row r="37" spans="1:68" ht="12.75">
      <c r="A37" s="25" t="s">
        <v>294</v>
      </c>
      <c r="B37" s="2">
        <v>0</v>
      </c>
      <c r="C37" s="2">
        <v>7477.712</v>
      </c>
      <c r="D37" s="2">
        <v>16664.613</v>
      </c>
      <c r="E37" s="2">
        <v>0</v>
      </c>
      <c r="F37" s="2">
        <v>954.495</v>
      </c>
      <c r="G37" s="2">
        <v>0</v>
      </c>
      <c r="H37" s="2">
        <v>672.522</v>
      </c>
      <c r="I37" s="2">
        <v>0</v>
      </c>
      <c r="J37" s="2">
        <v>1745.013</v>
      </c>
      <c r="K37" s="2">
        <v>0</v>
      </c>
      <c r="L37" s="2">
        <v>0</v>
      </c>
      <c r="M37" s="2">
        <v>2550.226</v>
      </c>
      <c r="N37" s="2">
        <v>0</v>
      </c>
      <c r="O37" s="2">
        <v>0</v>
      </c>
      <c r="P37" s="2">
        <v>7812.111</v>
      </c>
      <c r="Q37" s="2">
        <v>645.963</v>
      </c>
      <c r="R37" s="2">
        <v>38.926</v>
      </c>
      <c r="S37" s="2">
        <v>0</v>
      </c>
      <c r="T37" s="2">
        <v>1234.938</v>
      </c>
      <c r="U37" s="2">
        <v>130.086</v>
      </c>
      <c r="V37" s="2">
        <v>775.127</v>
      </c>
      <c r="W37" s="2">
        <v>182.036</v>
      </c>
      <c r="X37" s="2">
        <v>0</v>
      </c>
      <c r="Y37" s="2">
        <v>0</v>
      </c>
      <c r="Z37" s="2">
        <v>84.601</v>
      </c>
      <c r="AA37" s="2">
        <v>2.48</v>
      </c>
      <c r="AB37" s="2">
        <v>1630.261</v>
      </c>
      <c r="AC37" s="2">
        <v>0</v>
      </c>
      <c r="AD37" s="2">
        <v>375.74</v>
      </c>
      <c r="AE37" s="2">
        <v>189.203</v>
      </c>
      <c r="AF37" s="2">
        <v>0</v>
      </c>
      <c r="AG37" s="2">
        <v>0</v>
      </c>
      <c r="AH37" s="2">
        <v>0</v>
      </c>
      <c r="AI37" s="2">
        <v>0</v>
      </c>
      <c r="AJ37" s="2">
        <v>102.444</v>
      </c>
      <c r="AK37" s="2">
        <v>0</v>
      </c>
      <c r="AL37" s="2">
        <v>6.546</v>
      </c>
      <c r="AM37" s="2">
        <v>0</v>
      </c>
      <c r="AN37" s="2">
        <v>0</v>
      </c>
      <c r="AO37" s="2">
        <v>33.998</v>
      </c>
      <c r="AP37" s="2">
        <v>0</v>
      </c>
      <c r="AQ37" s="2">
        <v>2.803</v>
      </c>
      <c r="AR37" s="2">
        <v>3.683</v>
      </c>
      <c r="AS37" s="2">
        <v>148.765</v>
      </c>
      <c r="AT37" s="2">
        <v>0</v>
      </c>
      <c r="AU37" s="2">
        <v>168.958</v>
      </c>
      <c r="AV37" s="2">
        <v>2.63</v>
      </c>
      <c r="AW37" s="2">
        <v>0</v>
      </c>
      <c r="AX37" s="2">
        <v>31.55</v>
      </c>
      <c r="AY37" s="2">
        <v>0</v>
      </c>
      <c r="AZ37" s="2">
        <v>3.6</v>
      </c>
      <c r="BA37" s="2">
        <v>0</v>
      </c>
      <c r="BB37" s="2">
        <v>0</v>
      </c>
      <c r="BC37" s="2">
        <v>4.428</v>
      </c>
      <c r="BD37" s="2">
        <v>0</v>
      </c>
      <c r="BE37" s="2">
        <v>11.897</v>
      </c>
      <c r="BF37" s="2">
        <v>0</v>
      </c>
      <c r="BG37" s="2">
        <v>0</v>
      </c>
      <c r="BH37" s="2">
        <v>0</v>
      </c>
      <c r="BI37" s="2">
        <v>0</v>
      </c>
      <c r="BK37" s="2">
        <f>SUM(B37:BJ37)</f>
        <v>43687.355</v>
      </c>
      <c r="BL37" s="2"/>
      <c r="BM37" s="2">
        <f t="shared" si="0"/>
        <v>8961.799</v>
      </c>
      <c r="BN37" s="2">
        <f>B37+D37+E37+F37+G37+H37+I37+J37+K37+L37+M37+N37+O37+P37+Q37+R37+S37+T37+U37+W37+X37+Y37+Z37+AA37+AB37+AC37+AE37+AF37+AG37+AI37+AJ37+AK37+AL37+AM37+AO37+AQ37+AT37+AV37+AX37+AY37+BA37+BC37+BH37+BI37+AR37+BF37</f>
        <v>34725.556000000004</v>
      </c>
      <c r="BO37" s="2"/>
      <c r="BP37" s="41"/>
    </row>
    <row r="38" spans="1:68" ht="12.75">
      <c r="A38" s="25" t="s">
        <v>357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>
        <v>0</v>
      </c>
      <c r="AD38" s="2">
        <v>0</v>
      </c>
      <c r="AE38" s="2">
        <v>0</v>
      </c>
      <c r="AF38" s="2">
        <v>0</v>
      </c>
      <c r="AG38" s="2">
        <v>0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  <c r="AM38" s="2">
        <v>0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2">
        <v>0</v>
      </c>
      <c r="AT38" s="2">
        <v>0</v>
      </c>
      <c r="AU38" s="2">
        <v>0</v>
      </c>
      <c r="AV38" s="2">
        <v>0</v>
      </c>
      <c r="AW38" s="2">
        <v>0</v>
      </c>
      <c r="AX38" s="2">
        <v>0</v>
      </c>
      <c r="AY38" s="2">
        <v>0</v>
      </c>
      <c r="AZ38" s="2">
        <v>0</v>
      </c>
      <c r="BA38" s="2">
        <v>0</v>
      </c>
      <c r="BB38" s="2">
        <v>0</v>
      </c>
      <c r="BC38" s="2">
        <v>0</v>
      </c>
      <c r="BD38" s="2">
        <v>0</v>
      </c>
      <c r="BE38" s="2">
        <v>0</v>
      </c>
      <c r="BF38" s="2">
        <v>0</v>
      </c>
      <c r="BG38" s="2">
        <v>0</v>
      </c>
      <c r="BH38" s="2">
        <v>0</v>
      </c>
      <c r="BI38" s="2">
        <v>0</v>
      </c>
      <c r="BK38" s="2">
        <f>SUM(B38:BJ38)</f>
        <v>0</v>
      </c>
      <c r="BL38" s="2"/>
      <c r="BM38" s="2">
        <f t="shared" si="0"/>
        <v>0</v>
      </c>
      <c r="BN38" s="2">
        <f>B38+D38+E38+F38+G38+H38+I38+J38+K38+L38+M38+N38+O38+P38+Q38+R38+S38+T38+U38+W38+X38+Y38+Z38+AA38+AB38+AC38+AE38+AF38+AG38+AI38+AJ38+AK38+AL38+AM38+AO38+AQ38+AT38+AV38+AX38+AY38+BA38+BC38+BH38+BI38+AR38+BF38</f>
        <v>0</v>
      </c>
      <c r="BO38" s="2"/>
      <c r="BP38" s="41"/>
    </row>
    <row r="39" spans="1:68" ht="12.75">
      <c r="A39" s="25" t="s">
        <v>293</v>
      </c>
      <c r="B39" s="2">
        <v>0</v>
      </c>
      <c r="C39" s="2">
        <v>595.754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  <c r="AA39" s="2">
        <v>0</v>
      </c>
      <c r="AB39" s="2">
        <v>0</v>
      </c>
      <c r="AC39" s="2">
        <v>0</v>
      </c>
      <c r="AD39" s="2">
        <v>0</v>
      </c>
      <c r="AE39" s="2">
        <v>0</v>
      </c>
      <c r="AF39" s="2">
        <v>0</v>
      </c>
      <c r="AG39" s="2">
        <v>0</v>
      </c>
      <c r="AH39" s="2">
        <v>0</v>
      </c>
      <c r="AI39" s="2">
        <v>0</v>
      </c>
      <c r="AJ39" s="2">
        <v>0</v>
      </c>
      <c r="AK39" s="2">
        <v>0</v>
      </c>
      <c r="AL39" s="2">
        <v>0</v>
      </c>
      <c r="AM39" s="2">
        <v>0</v>
      </c>
      <c r="AN39" s="2">
        <v>0</v>
      </c>
      <c r="AO39" s="2">
        <v>0</v>
      </c>
      <c r="AP39" s="2">
        <v>0</v>
      </c>
      <c r="AQ39" s="2">
        <v>0</v>
      </c>
      <c r="AR39" s="2">
        <v>0</v>
      </c>
      <c r="AS39" s="2">
        <v>0</v>
      </c>
      <c r="AT39" s="2">
        <v>1626.798</v>
      </c>
      <c r="AU39" s="2">
        <v>0</v>
      </c>
      <c r="AV39" s="2">
        <v>0</v>
      </c>
      <c r="AW39" s="2">
        <v>0</v>
      </c>
      <c r="AX39" s="2">
        <v>0</v>
      </c>
      <c r="AY39" s="2">
        <v>0</v>
      </c>
      <c r="AZ39" s="2">
        <v>0</v>
      </c>
      <c r="BA39" s="2">
        <v>0</v>
      </c>
      <c r="BB39" s="2">
        <v>0</v>
      </c>
      <c r="BC39" s="2">
        <v>0</v>
      </c>
      <c r="BD39" s="2">
        <v>0</v>
      </c>
      <c r="BE39" s="2">
        <v>0</v>
      </c>
      <c r="BF39" s="2">
        <v>0</v>
      </c>
      <c r="BG39" s="2">
        <v>0</v>
      </c>
      <c r="BH39" s="2">
        <v>0</v>
      </c>
      <c r="BI39" s="2">
        <v>0</v>
      </c>
      <c r="BK39" s="2">
        <f>SUM(B39:BJ39)</f>
        <v>2222.552</v>
      </c>
      <c r="BL39" s="2"/>
      <c r="BM39" s="2">
        <f t="shared" si="0"/>
        <v>595.754</v>
      </c>
      <c r="BN39" s="2">
        <f>B39+D39+E39+F39+G39+H39+I39+J39+K39+L39+M39+N39+O39+P39+Q39+R39+S39+T39+U39+W39+X39+Y39+Z39+AA39+AB39+AC39+AE39+AF39+AG39+AI39+AJ39+AK39+AL39+AM39+AO39+AQ39+AT39+AV39+AX39+AY39+BA39+BC39+BH39+BI39+AR39+BF39</f>
        <v>1626.798</v>
      </c>
      <c r="BO39" s="2"/>
      <c r="BP39" s="41"/>
    </row>
    <row r="40" spans="1:68" ht="12.75">
      <c r="A40" s="25" t="s">
        <v>456</v>
      </c>
      <c r="B40" s="2">
        <v>0</v>
      </c>
      <c r="C40" s="2">
        <v>0</v>
      </c>
      <c r="D40" s="2">
        <v>6661.056</v>
      </c>
      <c r="E40" s="2">
        <v>0</v>
      </c>
      <c r="F40" s="2">
        <v>0</v>
      </c>
      <c r="G40" s="2">
        <v>0</v>
      </c>
      <c r="H40" s="2">
        <v>0</v>
      </c>
      <c r="I40" s="2">
        <v>20000</v>
      </c>
      <c r="J40" s="2">
        <v>0</v>
      </c>
      <c r="K40" s="2">
        <v>0</v>
      </c>
      <c r="L40" s="2">
        <v>0</v>
      </c>
      <c r="M40" s="2">
        <v>0</v>
      </c>
      <c r="N40" s="2">
        <v>2973.648</v>
      </c>
      <c r="O40" s="2">
        <v>0</v>
      </c>
      <c r="P40" s="2">
        <v>0</v>
      </c>
      <c r="Q40" s="2">
        <v>0</v>
      </c>
      <c r="R40" s="2">
        <v>3986.862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">
        <v>0</v>
      </c>
      <c r="AB40" s="2">
        <v>0</v>
      </c>
      <c r="AC40" s="2">
        <v>0</v>
      </c>
      <c r="AD40" s="2">
        <v>0</v>
      </c>
      <c r="AE40" s="2">
        <v>0</v>
      </c>
      <c r="AF40" s="2">
        <v>0</v>
      </c>
      <c r="AG40" s="2">
        <v>0</v>
      </c>
      <c r="AH40" s="2">
        <v>0</v>
      </c>
      <c r="AI40" s="2">
        <v>0</v>
      </c>
      <c r="AJ40" s="2">
        <v>396.497</v>
      </c>
      <c r="AK40" s="2">
        <v>0</v>
      </c>
      <c r="AL40" s="2">
        <v>0</v>
      </c>
      <c r="AM40" s="2">
        <v>0</v>
      </c>
      <c r="AN40" s="2">
        <v>0</v>
      </c>
      <c r="AO40" s="2">
        <v>0</v>
      </c>
      <c r="AP40" s="2">
        <v>0</v>
      </c>
      <c r="AQ40" s="2">
        <v>0</v>
      </c>
      <c r="AR40" s="2">
        <v>0</v>
      </c>
      <c r="AS40" s="2">
        <v>0</v>
      </c>
      <c r="AT40" s="2">
        <v>0</v>
      </c>
      <c r="AU40" s="2">
        <v>0</v>
      </c>
      <c r="AV40" s="2">
        <v>0</v>
      </c>
      <c r="AW40" s="2">
        <v>0</v>
      </c>
      <c r="AX40" s="2">
        <v>0</v>
      </c>
      <c r="AY40" s="2">
        <v>0</v>
      </c>
      <c r="AZ40" s="2">
        <v>67.338</v>
      </c>
      <c r="BA40" s="2">
        <v>0</v>
      </c>
      <c r="BB40" s="2">
        <v>0</v>
      </c>
      <c r="BC40" s="2">
        <v>0</v>
      </c>
      <c r="BD40" s="2">
        <v>0</v>
      </c>
      <c r="BE40" s="2">
        <v>0</v>
      </c>
      <c r="BF40" s="2">
        <v>0</v>
      </c>
      <c r="BG40" s="2">
        <v>0</v>
      </c>
      <c r="BH40" s="2">
        <v>0</v>
      </c>
      <c r="BI40" s="2">
        <v>0</v>
      </c>
      <c r="BK40" s="2">
        <f>SUM(B40:BJ40)</f>
        <v>34085.401000000005</v>
      </c>
      <c r="BL40" s="2"/>
      <c r="BM40" s="2">
        <f t="shared" si="0"/>
        <v>67.338</v>
      </c>
      <c r="BN40" s="2">
        <f>B40+D40+E40+F40+G40+H40+I40+J40+K40+L40+M40+N40+O40+P40+Q40+R40+S40+T40+U40+W40+X40+Y40+Z40+AA40+AB40+AC40+AE40+AF40+AG40+AI40+AJ40+AK40+AL40+AM40+AO40+AQ40+AT40+AV40+AX40+AY40+BA40+BC40+BH40+BI40+AR40+BF40</f>
        <v>34018.063</v>
      </c>
      <c r="BO40" s="2"/>
      <c r="BP40" s="41"/>
    </row>
    <row r="41" spans="1:68" ht="5.25" customHeight="1">
      <c r="A41" s="24"/>
      <c r="BK41" s="2"/>
      <c r="BL41" s="2"/>
      <c r="BM41" s="2"/>
      <c r="BN41" s="2"/>
      <c r="BP41" s="41"/>
    </row>
    <row r="42" spans="1:68" ht="12.75">
      <c r="A42" s="45" t="s">
        <v>308</v>
      </c>
      <c r="B42" s="41">
        <f aca="true" t="shared" si="9" ref="B42:AG42">SUM(B36:B40)</f>
        <v>79379.39</v>
      </c>
      <c r="C42" s="41">
        <f t="shared" si="9"/>
        <v>44147.285</v>
      </c>
      <c r="D42" s="41">
        <f t="shared" si="9"/>
        <v>54392.837</v>
      </c>
      <c r="E42" s="41">
        <f t="shared" si="9"/>
        <v>56373.11</v>
      </c>
      <c r="F42" s="41">
        <f t="shared" si="9"/>
        <v>17238.715</v>
      </c>
      <c r="G42" s="41">
        <f t="shared" si="9"/>
        <v>17912.741</v>
      </c>
      <c r="H42" s="41">
        <f t="shared" si="9"/>
        <v>17368.667</v>
      </c>
      <c r="I42" s="41">
        <f t="shared" si="9"/>
        <v>23391.595</v>
      </c>
      <c r="J42" s="41">
        <f t="shared" si="9"/>
        <v>21460.004999999997</v>
      </c>
      <c r="K42" s="41">
        <f t="shared" si="9"/>
        <v>21730.751</v>
      </c>
      <c r="L42" s="41">
        <f t="shared" si="9"/>
        <v>26639.231</v>
      </c>
      <c r="M42" s="41">
        <f t="shared" si="9"/>
        <v>15803.886</v>
      </c>
      <c r="N42" s="41">
        <f t="shared" si="9"/>
        <v>6311.273</v>
      </c>
      <c r="O42" s="41">
        <f t="shared" si="9"/>
        <v>15877.917</v>
      </c>
      <c r="P42" s="41">
        <f t="shared" si="9"/>
        <v>23334.138</v>
      </c>
      <c r="Q42" s="41">
        <f t="shared" si="9"/>
        <v>13245.916</v>
      </c>
      <c r="R42" s="41">
        <f t="shared" si="9"/>
        <v>12989.79</v>
      </c>
      <c r="S42" s="41">
        <f t="shared" si="9"/>
        <v>27504.148999999998</v>
      </c>
      <c r="T42" s="41">
        <f t="shared" si="9"/>
        <v>11555.935</v>
      </c>
      <c r="U42" s="41">
        <f t="shared" si="9"/>
        <v>726.83</v>
      </c>
      <c r="V42" s="41">
        <f t="shared" si="9"/>
        <v>4426.034</v>
      </c>
      <c r="W42" s="41">
        <f t="shared" si="9"/>
        <v>3608.704</v>
      </c>
      <c r="X42" s="41">
        <f t="shared" si="9"/>
        <v>0</v>
      </c>
      <c r="Y42" s="41">
        <f t="shared" si="9"/>
        <v>17003</v>
      </c>
      <c r="Z42" s="41">
        <f t="shared" si="9"/>
        <v>1640.366</v>
      </c>
      <c r="AA42" s="41">
        <f t="shared" si="9"/>
        <v>8157.364</v>
      </c>
      <c r="AB42" s="41">
        <f t="shared" si="9"/>
        <v>2684.6620000000003</v>
      </c>
      <c r="AC42" s="41">
        <f t="shared" si="9"/>
        <v>6279.711</v>
      </c>
      <c r="AD42" s="41">
        <f t="shared" si="9"/>
        <v>375.74</v>
      </c>
      <c r="AE42" s="41">
        <f t="shared" si="9"/>
        <v>11869.14</v>
      </c>
      <c r="AF42" s="41">
        <f t="shared" si="9"/>
        <v>1565.889</v>
      </c>
      <c r="AG42" s="41">
        <f t="shared" si="9"/>
        <v>784</v>
      </c>
      <c r="AH42" s="41">
        <f aca="true" t="shared" si="10" ref="AH42:BH42">SUM(AH36:AH40)</f>
        <v>362.032</v>
      </c>
      <c r="AI42" s="41">
        <f t="shared" si="10"/>
        <v>5167.529</v>
      </c>
      <c r="AJ42" s="41">
        <f t="shared" si="10"/>
        <v>2172.9739999999997</v>
      </c>
      <c r="AK42" s="41">
        <f t="shared" si="10"/>
        <v>4262.735</v>
      </c>
      <c r="AL42" s="41">
        <f>SUM(AL36:AL40)</f>
        <v>1338.728</v>
      </c>
      <c r="AM42" s="41">
        <f>SUM(AM36:AM40)</f>
        <v>0</v>
      </c>
      <c r="AN42" s="41">
        <f t="shared" si="10"/>
        <v>2535.679</v>
      </c>
      <c r="AO42" s="41">
        <f t="shared" si="10"/>
        <v>615.941</v>
      </c>
      <c r="AP42" s="41">
        <f t="shared" si="10"/>
        <v>1327.0010000000002</v>
      </c>
      <c r="AQ42" s="41">
        <f t="shared" si="10"/>
        <v>5005.53</v>
      </c>
      <c r="AR42" s="41">
        <f>SUM(AR36:AR40)</f>
        <v>665.074</v>
      </c>
      <c r="AS42" s="41">
        <f t="shared" si="10"/>
        <v>1440.051</v>
      </c>
      <c r="AT42" s="41">
        <f t="shared" si="10"/>
        <v>1709.532</v>
      </c>
      <c r="AU42" s="41">
        <f t="shared" si="10"/>
        <v>798.958</v>
      </c>
      <c r="AV42" s="41">
        <f t="shared" si="10"/>
        <v>323.356</v>
      </c>
      <c r="AW42" s="41">
        <f>SUM(AW36:AW40)</f>
        <v>1653.184</v>
      </c>
      <c r="AX42" s="41">
        <f t="shared" si="10"/>
        <v>658.7439999999999</v>
      </c>
      <c r="AY42" s="41">
        <f t="shared" si="10"/>
        <v>0</v>
      </c>
      <c r="AZ42" s="41">
        <f t="shared" si="10"/>
        <v>602.433</v>
      </c>
      <c r="BA42" s="41">
        <f t="shared" si="10"/>
        <v>155.326</v>
      </c>
      <c r="BB42" s="41">
        <f t="shared" si="10"/>
        <v>0</v>
      </c>
      <c r="BC42" s="41">
        <f t="shared" si="10"/>
        <v>972.812</v>
      </c>
      <c r="BD42" s="41">
        <f t="shared" si="10"/>
        <v>562.916</v>
      </c>
      <c r="BE42" s="41">
        <f t="shared" si="10"/>
        <v>11.897</v>
      </c>
      <c r="BF42" s="41">
        <f>SUM(BF36:BF40)</f>
        <v>405.855</v>
      </c>
      <c r="BG42" s="41">
        <f t="shared" si="10"/>
        <v>0</v>
      </c>
      <c r="BH42" s="41">
        <f t="shared" si="10"/>
        <v>0</v>
      </c>
      <c r="BI42" s="41">
        <f>SUM(BI36:BI40)</f>
        <v>0</v>
      </c>
      <c r="BK42" s="2">
        <f>SUM(B42:BJ42)</f>
        <v>598527.058</v>
      </c>
      <c r="BL42" s="2"/>
      <c r="BM42" s="2">
        <f t="shared" si="0"/>
        <v>58243.21</v>
      </c>
      <c r="BN42" s="2">
        <f>B42+D42+E42+F42+G42+H42+I42+J42+K42+L42+M42+N42+O42+P42+Q42+R42+S42+T42+U42+W42+X42+Y42+Z42+AA42+AB42+AC42+AE42+AF42+AG42+AI42+AJ42+AK42+AL42+AM42+AO42+AQ42+AT42+AV42+AX42+AY42+BA42+BC42+BH42+BI42+AR42+BF42</f>
        <v>540283.8480000001</v>
      </c>
      <c r="BO42" s="41"/>
      <c r="BP42" s="41"/>
    </row>
    <row r="43" spans="1:68" ht="8.25" customHeight="1">
      <c r="A43" s="24"/>
      <c r="BK43" s="2"/>
      <c r="BL43" s="2"/>
      <c r="BM43" s="2"/>
      <c r="BN43" s="2"/>
      <c r="BP43" s="41"/>
    </row>
    <row r="44" spans="1:68" ht="12.75">
      <c r="A44" s="46" t="s">
        <v>317</v>
      </c>
      <c r="BK44" s="2"/>
      <c r="BL44" s="2"/>
      <c r="BM44" s="2"/>
      <c r="BN44" s="2"/>
      <c r="BP44" s="41"/>
    </row>
    <row r="45" spans="1:68" ht="12.75">
      <c r="A45" s="25" t="s">
        <v>312</v>
      </c>
      <c r="B45" s="2">
        <v>85870.746</v>
      </c>
      <c r="C45" s="2">
        <v>84198.039</v>
      </c>
      <c r="D45" s="2">
        <v>65653.615</v>
      </c>
      <c r="E45" s="2">
        <v>25296.338</v>
      </c>
      <c r="F45" s="2">
        <v>37730.383</v>
      </c>
      <c r="G45" s="2">
        <v>8192.478</v>
      </c>
      <c r="H45" s="2">
        <v>20154.701</v>
      </c>
      <c r="I45" s="2">
        <v>14830.059</v>
      </c>
      <c r="J45" s="2">
        <v>29572.487</v>
      </c>
      <c r="K45" s="2">
        <v>23984.803</v>
      </c>
      <c r="L45" s="2">
        <v>33045.122</v>
      </c>
      <c r="M45" s="2">
        <v>27357.871</v>
      </c>
      <c r="N45" s="2">
        <v>16816.844</v>
      </c>
      <c r="O45" s="2">
        <v>15333.12</v>
      </c>
      <c r="P45" s="2">
        <f>21260.027+534.255</f>
        <v>21794.282</v>
      </c>
      <c r="Q45" s="2">
        <v>20604.579</v>
      </c>
      <c r="R45" s="2">
        <v>16580.006</v>
      </c>
      <c r="S45" s="2">
        <v>9560.956</v>
      </c>
      <c r="T45" s="2">
        <v>9975.469</v>
      </c>
      <c r="U45" s="2">
        <v>2660.841</v>
      </c>
      <c r="V45" s="2">
        <v>8456.384</v>
      </c>
      <c r="W45" s="2">
        <v>2987.657</v>
      </c>
      <c r="X45" s="2">
        <v>0</v>
      </c>
      <c r="Y45" s="2">
        <v>1927</v>
      </c>
      <c r="Z45" s="2">
        <v>5021.991</v>
      </c>
      <c r="AA45" s="2">
        <v>9967.08</v>
      </c>
      <c r="AB45" s="2">
        <v>527.2</v>
      </c>
      <c r="AC45" s="2">
        <v>8027.933</v>
      </c>
      <c r="AD45" s="2">
        <v>16247.449</v>
      </c>
      <c r="AE45" s="2">
        <v>5206.911</v>
      </c>
      <c r="AF45" s="2">
        <v>1913.865</v>
      </c>
      <c r="AG45" s="2">
        <v>4658.212</v>
      </c>
      <c r="AH45" s="2">
        <v>909.792</v>
      </c>
      <c r="AI45" s="2">
        <v>0</v>
      </c>
      <c r="AJ45" s="2">
        <v>837.017</v>
      </c>
      <c r="AK45" s="2">
        <v>3487.692</v>
      </c>
      <c r="AL45" s="2">
        <v>2089.148</v>
      </c>
      <c r="AM45" s="2">
        <v>2104.233</v>
      </c>
      <c r="AN45" s="2">
        <v>1821.197</v>
      </c>
      <c r="AO45" s="2">
        <v>484.164</v>
      </c>
      <c r="AP45" s="2">
        <f>3107.014+1482.649</f>
        <v>4589.6630000000005</v>
      </c>
      <c r="AQ45" s="2">
        <v>0</v>
      </c>
      <c r="AR45" s="2">
        <v>0</v>
      </c>
      <c r="AS45" s="2">
        <v>1967.974</v>
      </c>
      <c r="AT45" s="2">
        <v>3630.496</v>
      </c>
      <c r="AU45" s="2">
        <v>211.016</v>
      </c>
      <c r="AV45" s="2">
        <v>410.59</v>
      </c>
      <c r="AW45" s="2">
        <v>18291.979</v>
      </c>
      <c r="AX45" s="2">
        <v>629.554</v>
      </c>
      <c r="AY45" s="2">
        <v>0</v>
      </c>
      <c r="AZ45" s="2">
        <v>1594.485</v>
      </c>
      <c r="BA45" s="2">
        <v>222.055</v>
      </c>
      <c r="BB45" s="2">
        <v>1620.044</v>
      </c>
      <c r="BC45" s="2">
        <v>0</v>
      </c>
      <c r="BD45" s="2">
        <v>562.917</v>
      </c>
      <c r="BE45" s="2">
        <v>650.8</v>
      </c>
      <c r="BF45" s="2">
        <v>811.712</v>
      </c>
      <c r="BG45" s="2">
        <v>0</v>
      </c>
      <c r="BH45" s="2">
        <v>0</v>
      </c>
      <c r="BI45" s="2">
        <v>0</v>
      </c>
      <c r="BK45" s="2">
        <f>SUM(B45:BJ45)</f>
        <v>681080.9490000005</v>
      </c>
      <c r="BL45" s="2"/>
      <c r="BM45" s="2">
        <f t="shared" si="0"/>
        <v>141121.73899999997</v>
      </c>
      <c r="BN45" s="2">
        <f>B45+D45+E45+F45+G45+H45+I45+J45+K45+L45+M45+N45+O45+P45+Q45+R45+S45+T45+U45+W45+X45+Y45+Z45+AA45+AB45+AC45+AE45+AF45+AG45+AI45+AJ45+AK45+AL45+AM45+AO45+AQ45+AT45+AV45+AX45+AY45+BA45+BC45+BH45+BI45+AR45+BF45</f>
        <v>539959.2100000003</v>
      </c>
      <c r="BO45" s="2"/>
      <c r="BP45" s="41"/>
    </row>
    <row r="46" spans="1:68" ht="12.75">
      <c r="A46" s="25" t="s">
        <v>292</v>
      </c>
      <c r="B46" s="2">
        <v>0</v>
      </c>
      <c r="C46" s="2">
        <v>4019.312</v>
      </c>
      <c r="D46" s="2">
        <v>0</v>
      </c>
      <c r="E46" s="2">
        <v>28706.31</v>
      </c>
      <c r="F46" s="2">
        <v>8727.201</v>
      </c>
      <c r="G46" s="2">
        <f>6696.028+9906.736</f>
        <v>16602.764000000003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2676.254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446.589</v>
      </c>
      <c r="W46" s="2">
        <v>2316.615</v>
      </c>
      <c r="X46" s="2">
        <v>1715.837</v>
      </c>
      <c r="Y46" s="2">
        <v>0</v>
      </c>
      <c r="Z46" s="2">
        <v>0</v>
      </c>
      <c r="AA46" s="2">
        <v>0</v>
      </c>
      <c r="AB46" s="2">
        <v>891.206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1114.017</v>
      </c>
      <c r="AI46" s="2">
        <v>0</v>
      </c>
      <c r="AJ46" s="2">
        <v>0</v>
      </c>
      <c r="AK46" s="2">
        <v>0</v>
      </c>
      <c r="AL46" s="2">
        <v>0</v>
      </c>
      <c r="AM46" s="2">
        <v>0</v>
      </c>
      <c r="AN46" s="2">
        <v>1007.216</v>
      </c>
      <c r="AO46" s="2">
        <v>1629.902</v>
      </c>
      <c r="AP46" s="2">
        <v>0</v>
      </c>
      <c r="AQ46" s="2">
        <v>657.985</v>
      </c>
      <c r="AR46" s="2">
        <v>1342.825</v>
      </c>
      <c r="AS46" s="2">
        <v>0</v>
      </c>
      <c r="AT46" s="2">
        <v>0</v>
      </c>
      <c r="AU46" s="2">
        <v>0</v>
      </c>
      <c r="AV46" s="2">
        <v>1449.271</v>
      </c>
      <c r="AW46" s="2">
        <v>0</v>
      </c>
      <c r="AX46" s="2">
        <v>0</v>
      </c>
      <c r="AY46" s="2">
        <v>1267.596</v>
      </c>
      <c r="AZ46" s="2">
        <v>0</v>
      </c>
      <c r="BA46" s="2">
        <v>29.659</v>
      </c>
      <c r="BB46" s="2">
        <v>0</v>
      </c>
      <c r="BC46" s="2">
        <v>2220.404</v>
      </c>
      <c r="BD46" s="2">
        <v>0</v>
      </c>
      <c r="BE46" s="2">
        <v>1383.227</v>
      </c>
      <c r="BF46" s="2">
        <v>0</v>
      </c>
      <c r="BG46" s="2">
        <v>947.515</v>
      </c>
      <c r="BH46" s="2">
        <v>0</v>
      </c>
      <c r="BI46" s="2">
        <v>194.633</v>
      </c>
      <c r="BK46" s="2">
        <f>SUM(B46:BJ46)</f>
        <v>79346.338</v>
      </c>
      <c r="BL46" s="2"/>
      <c r="BM46" s="2">
        <f t="shared" si="0"/>
        <v>8917.876</v>
      </c>
      <c r="BN46" s="2">
        <f>B46+D46+E46+F46+G46+H46+I46+J46+K46+L46+M46+N46+O46+P46+Q46+R46+S46+T46+U46+W46+X46+Y46+Z46+AA46+AB46+AC46+AE46+AF46+AG46+AI46+AJ46+AK46+AL46+AM46+AO46+AQ46+AT46+AV46+AX46+AY46+BA46+BC46+BH46+BI46+AR46+BF46</f>
        <v>70428.462</v>
      </c>
      <c r="BO46" s="2"/>
      <c r="BP46" s="41"/>
    </row>
    <row r="47" spans="1:68" ht="5.25" customHeight="1">
      <c r="A47" s="24"/>
      <c r="BK47" s="2"/>
      <c r="BL47" s="2"/>
      <c r="BM47" s="2"/>
      <c r="BN47" s="2"/>
      <c r="BP47" s="41"/>
    </row>
    <row r="48" spans="1:68" ht="12.75">
      <c r="A48" s="45" t="s">
        <v>309</v>
      </c>
      <c r="B48" s="41">
        <f aca="true" t="shared" si="11" ref="B48:AG48">SUM(B45:B46)</f>
        <v>85870.746</v>
      </c>
      <c r="C48" s="41">
        <f t="shared" si="11"/>
        <v>88217.35100000001</v>
      </c>
      <c r="D48" s="41">
        <f t="shared" si="11"/>
        <v>65653.615</v>
      </c>
      <c r="E48" s="41">
        <f t="shared" si="11"/>
        <v>54002.648</v>
      </c>
      <c r="F48" s="41">
        <f t="shared" si="11"/>
        <v>46457.584</v>
      </c>
      <c r="G48" s="41">
        <f t="shared" si="11"/>
        <v>24795.242000000002</v>
      </c>
      <c r="H48" s="41">
        <f t="shared" si="11"/>
        <v>20154.701</v>
      </c>
      <c r="I48" s="41">
        <f t="shared" si="11"/>
        <v>14830.059</v>
      </c>
      <c r="J48" s="41">
        <f t="shared" si="11"/>
        <v>29572.487</v>
      </c>
      <c r="K48" s="41">
        <f t="shared" si="11"/>
        <v>23984.803</v>
      </c>
      <c r="L48" s="41">
        <f t="shared" si="11"/>
        <v>33045.122</v>
      </c>
      <c r="M48" s="41">
        <f t="shared" si="11"/>
        <v>27357.871</v>
      </c>
      <c r="N48" s="41">
        <f t="shared" si="11"/>
        <v>19493.098</v>
      </c>
      <c r="O48" s="41">
        <f t="shared" si="11"/>
        <v>15333.12</v>
      </c>
      <c r="P48" s="41">
        <f t="shared" si="11"/>
        <v>21794.282</v>
      </c>
      <c r="Q48" s="41">
        <f t="shared" si="11"/>
        <v>20604.579</v>
      </c>
      <c r="R48" s="41">
        <f t="shared" si="11"/>
        <v>16580.006</v>
      </c>
      <c r="S48" s="41">
        <f t="shared" si="11"/>
        <v>9560.956</v>
      </c>
      <c r="T48" s="41">
        <f t="shared" si="11"/>
        <v>9975.469</v>
      </c>
      <c r="U48" s="41">
        <f t="shared" si="11"/>
        <v>2660.841</v>
      </c>
      <c r="V48" s="41">
        <f t="shared" si="11"/>
        <v>8902.973</v>
      </c>
      <c r="W48" s="41">
        <f t="shared" si="11"/>
        <v>5304.272</v>
      </c>
      <c r="X48" s="41">
        <f t="shared" si="11"/>
        <v>1715.837</v>
      </c>
      <c r="Y48" s="41">
        <f t="shared" si="11"/>
        <v>1927</v>
      </c>
      <c r="Z48" s="41">
        <f t="shared" si="11"/>
        <v>5021.991</v>
      </c>
      <c r="AA48" s="41">
        <f t="shared" si="11"/>
        <v>9967.08</v>
      </c>
      <c r="AB48" s="41">
        <f t="shared" si="11"/>
        <v>1418.406</v>
      </c>
      <c r="AC48" s="41">
        <f t="shared" si="11"/>
        <v>8027.933</v>
      </c>
      <c r="AD48" s="41">
        <f t="shared" si="11"/>
        <v>16247.449</v>
      </c>
      <c r="AE48" s="41">
        <f t="shared" si="11"/>
        <v>5206.911</v>
      </c>
      <c r="AF48" s="41">
        <f t="shared" si="11"/>
        <v>1913.865</v>
      </c>
      <c r="AG48" s="41">
        <f t="shared" si="11"/>
        <v>4658.212</v>
      </c>
      <c r="AH48" s="41">
        <f aca="true" t="shared" si="12" ref="AH48:BH48">SUM(AH45:AH46)</f>
        <v>2023.8090000000002</v>
      </c>
      <c r="AI48" s="41">
        <f t="shared" si="12"/>
        <v>0</v>
      </c>
      <c r="AJ48" s="41">
        <f t="shared" si="12"/>
        <v>837.017</v>
      </c>
      <c r="AK48" s="41">
        <f t="shared" si="12"/>
        <v>3487.692</v>
      </c>
      <c r="AL48" s="41">
        <f>SUM(AL45:AL46)</f>
        <v>2089.148</v>
      </c>
      <c r="AM48" s="41">
        <f>SUM(AM45:AM46)</f>
        <v>2104.233</v>
      </c>
      <c r="AN48" s="41">
        <f t="shared" si="12"/>
        <v>2828.413</v>
      </c>
      <c r="AO48" s="41">
        <f t="shared" si="12"/>
        <v>2114.066</v>
      </c>
      <c r="AP48" s="41">
        <f t="shared" si="12"/>
        <v>4589.6630000000005</v>
      </c>
      <c r="AQ48" s="41">
        <f t="shared" si="12"/>
        <v>657.985</v>
      </c>
      <c r="AR48" s="41">
        <f>SUM(AR45:AR46)</f>
        <v>1342.825</v>
      </c>
      <c r="AS48" s="41">
        <f t="shared" si="12"/>
        <v>1967.974</v>
      </c>
      <c r="AT48" s="41">
        <f t="shared" si="12"/>
        <v>3630.496</v>
      </c>
      <c r="AU48" s="41">
        <f t="shared" si="12"/>
        <v>211.016</v>
      </c>
      <c r="AV48" s="41">
        <f t="shared" si="12"/>
        <v>1859.8609999999999</v>
      </c>
      <c r="AW48" s="41">
        <f>SUM(AW45:AW46)</f>
        <v>18291.979</v>
      </c>
      <c r="AX48" s="41">
        <f t="shared" si="12"/>
        <v>629.554</v>
      </c>
      <c r="AY48" s="41">
        <f t="shared" si="12"/>
        <v>1267.596</v>
      </c>
      <c r="AZ48" s="41">
        <f t="shared" si="12"/>
        <v>1594.485</v>
      </c>
      <c r="BA48" s="41">
        <f t="shared" si="12"/>
        <v>251.714</v>
      </c>
      <c r="BB48" s="41">
        <f t="shared" si="12"/>
        <v>1620.044</v>
      </c>
      <c r="BC48" s="41">
        <f t="shared" si="12"/>
        <v>2220.404</v>
      </c>
      <c r="BD48" s="41">
        <f t="shared" si="12"/>
        <v>562.917</v>
      </c>
      <c r="BE48" s="41">
        <f t="shared" si="12"/>
        <v>2034.027</v>
      </c>
      <c r="BF48" s="41">
        <f>SUM(BF45:BF46)</f>
        <v>811.712</v>
      </c>
      <c r="BG48" s="41">
        <f t="shared" si="12"/>
        <v>947.515</v>
      </c>
      <c r="BH48" s="41">
        <f t="shared" si="12"/>
        <v>0</v>
      </c>
      <c r="BI48" s="41">
        <f>SUM(BI45:BI46)</f>
        <v>194.633</v>
      </c>
      <c r="BK48" s="2">
        <f>SUM(B48:BJ48)</f>
        <v>760427.2870000005</v>
      </c>
      <c r="BL48" s="2"/>
      <c r="BM48" s="2">
        <f t="shared" si="0"/>
        <v>150039.615</v>
      </c>
      <c r="BN48" s="2">
        <f>B48+D48+E48+F48+G48+H48+I48+J48+K48+L48+M48+N48+O48+P48+Q48+R48+S48+T48+U48+W48+X48+Y48+Z48+AA48+AB48+AC48+AE48+AF48+AG48+AI48+AJ48+AK48+AL48+AM48+AO48+AQ48+AT48+AV48+AX48+AY48+BA48+BC48+BH48+BI48+AR48+BF48</f>
        <v>610387.6720000004</v>
      </c>
      <c r="BO48" s="41"/>
      <c r="BP48" s="41"/>
    </row>
    <row r="49" spans="1:68" ht="8.25" customHeight="1">
      <c r="A49" s="24"/>
      <c r="BK49" s="2"/>
      <c r="BL49" s="2"/>
      <c r="BM49" s="2"/>
      <c r="BN49" s="2"/>
      <c r="BP49" s="41"/>
    </row>
    <row r="50" spans="1:82" ht="12.75">
      <c r="A50" s="26" t="s">
        <v>318</v>
      </c>
      <c r="B50" s="116">
        <v>26271.352</v>
      </c>
      <c r="C50" s="116">
        <v>0</v>
      </c>
      <c r="D50" s="116">
        <v>15791.071</v>
      </c>
      <c r="E50" s="116">
        <v>0</v>
      </c>
      <c r="F50" s="116">
        <v>0</v>
      </c>
      <c r="G50" s="116">
        <v>0</v>
      </c>
      <c r="H50" s="116">
        <v>0</v>
      </c>
      <c r="I50" s="116">
        <v>0</v>
      </c>
      <c r="J50" s="116">
        <v>0</v>
      </c>
      <c r="K50" s="116">
        <v>0</v>
      </c>
      <c r="L50" s="116">
        <v>7004.987</v>
      </c>
      <c r="M50" s="116">
        <v>0</v>
      </c>
      <c r="N50" s="116">
        <v>0</v>
      </c>
      <c r="O50" s="116">
        <v>0</v>
      </c>
      <c r="P50" s="116">
        <v>2076.848</v>
      </c>
      <c r="Q50" s="116">
        <v>4049.151</v>
      </c>
      <c r="R50" s="116">
        <v>0</v>
      </c>
      <c r="S50" s="116">
        <v>0</v>
      </c>
      <c r="T50" s="116">
        <v>700.099</v>
      </c>
      <c r="U50" s="116">
        <v>0</v>
      </c>
      <c r="V50" s="116">
        <v>0</v>
      </c>
      <c r="W50" s="116">
        <v>0</v>
      </c>
      <c r="X50" s="116">
        <v>0</v>
      </c>
      <c r="Y50" s="116">
        <v>0</v>
      </c>
      <c r="Z50" s="116">
        <v>0</v>
      </c>
      <c r="AA50" s="116">
        <v>0</v>
      </c>
      <c r="AB50" s="116">
        <v>0</v>
      </c>
      <c r="AC50" s="116">
        <v>0</v>
      </c>
      <c r="AD50" s="116">
        <v>0</v>
      </c>
      <c r="AE50" s="116">
        <v>4961.417</v>
      </c>
      <c r="AF50" s="116">
        <v>0</v>
      </c>
      <c r="AG50" s="116">
        <v>0</v>
      </c>
      <c r="AH50" s="116">
        <v>0</v>
      </c>
      <c r="AI50" s="116">
        <v>1310.962</v>
      </c>
      <c r="AJ50" s="116">
        <v>0</v>
      </c>
      <c r="AK50" s="116">
        <v>499.037</v>
      </c>
      <c r="AL50" s="116">
        <v>0</v>
      </c>
      <c r="AM50" s="116">
        <v>0</v>
      </c>
      <c r="AN50" s="116">
        <v>5364.092</v>
      </c>
      <c r="AO50" s="116">
        <v>0</v>
      </c>
      <c r="AP50" s="116">
        <v>0</v>
      </c>
      <c r="AQ50" s="116">
        <v>0</v>
      </c>
      <c r="AR50" s="116">
        <v>0</v>
      </c>
      <c r="AS50" s="116">
        <v>0</v>
      </c>
      <c r="AT50" s="116">
        <v>204.672</v>
      </c>
      <c r="AU50" s="116">
        <v>0</v>
      </c>
      <c r="AV50" s="116">
        <v>0</v>
      </c>
      <c r="AW50" s="116">
        <v>0</v>
      </c>
      <c r="AX50" s="116">
        <v>0</v>
      </c>
      <c r="AY50" s="116">
        <v>0</v>
      </c>
      <c r="AZ50" s="116">
        <v>0</v>
      </c>
      <c r="BA50" s="116">
        <v>0</v>
      </c>
      <c r="BB50" s="116">
        <v>0</v>
      </c>
      <c r="BC50" s="116">
        <v>0</v>
      </c>
      <c r="BD50" s="116">
        <v>0</v>
      </c>
      <c r="BE50" s="116">
        <v>0</v>
      </c>
      <c r="BF50" s="116">
        <v>0</v>
      </c>
      <c r="BG50" s="116">
        <v>0</v>
      </c>
      <c r="BH50" s="116">
        <v>0</v>
      </c>
      <c r="BI50" s="116">
        <v>0</v>
      </c>
      <c r="BK50" s="2">
        <f>SUM(B50:BJ50)</f>
        <v>68233.688</v>
      </c>
      <c r="BL50" s="2"/>
      <c r="BM50" s="2">
        <f t="shared" si="0"/>
        <v>5364.092</v>
      </c>
      <c r="BN50" s="2">
        <f>B50+D50+E50+F50+G50+H50+I50+J50+K50+L50+M50+N50+O50+P50+Q50+R50+S50+T50+U50+W50+X50+Y50+Z50+AA50+AB50+AC50+AE50+AF50+AG50+AI50+AJ50+AK50+AL50+AM50+AO50+AQ50+AT50+AV50+AX50+AY50+BA50+BC50+BH50+BI50+AR50+BF50</f>
        <v>62869.59599999999</v>
      </c>
      <c r="BO50" s="116"/>
      <c r="BP50" s="41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</row>
    <row r="51" spans="1:82" ht="8.25" customHeight="1">
      <c r="A51" s="24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K51" s="2"/>
      <c r="BL51" s="2"/>
      <c r="BM51" s="2"/>
      <c r="BN51" s="2"/>
      <c r="BO51" s="13"/>
      <c r="BP51" s="41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</row>
    <row r="52" spans="1:82" ht="12.75">
      <c r="A52" s="26" t="s">
        <v>319</v>
      </c>
      <c r="B52" s="116">
        <v>0</v>
      </c>
      <c r="C52" s="116">
        <v>6739.987</v>
      </c>
      <c r="D52" s="116">
        <v>0</v>
      </c>
      <c r="E52" s="116">
        <v>0</v>
      </c>
      <c r="F52" s="116">
        <v>0</v>
      </c>
      <c r="G52" s="116">
        <v>0</v>
      </c>
      <c r="H52" s="116">
        <v>0</v>
      </c>
      <c r="I52" s="116">
        <v>0</v>
      </c>
      <c r="J52" s="116">
        <v>0</v>
      </c>
      <c r="K52" s="116">
        <v>0</v>
      </c>
      <c r="L52" s="116">
        <v>25924.004</v>
      </c>
      <c r="M52" s="116">
        <v>0</v>
      </c>
      <c r="N52" s="116">
        <v>0</v>
      </c>
      <c r="O52" s="116">
        <v>0</v>
      </c>
      <c r="P52" s="116">
        <v>0</v>
      </c>
      <c r="Q52" s="116">
        <v>0</v>
      </c>
      <c r="R52" s="116">
        <v>0</v>
      </c>
      <c r="S52" s="116">
        <v>0</v>
      </c>
      <c r="T52" s="116">
        <v>0</v>
      </c>
      <c r="U52" s="116">
        <v>0</v>
      </c>
      <c r="V52" s="116">
        <v>0</v>
      </c>
      <c r="W52" s="116">
        <v>0</v>
      </c>
      <c r="X52" s="116">
        <v>0</v>
      </c>
      <c r="Y52" s="116">
        <v>0</v>
      </c>
      <c r="Z52" s="116">
        <v>0</v>
      </c>
      <c r="AA52" s="116">
        <v>0</v>
      </c>
      <c r="AB52" s="116">
        <v>0</v>
      </c>
      <c r="AC52" s="116">
        <v>0</v>
      </c>
      <c r="AD52" s="116">
        <v>0</v>
      </c>
      <c r="AE52" s="116">
        <v>0</v>
      </c>
      <c r="AF52" s="116">
        <v>0</v>
      </c>
      <c r="AG52" s="116">
        <v>0</v>
      </c>
      <c r="AH52" s="116">
        <v>0</v>
      </c>
      <c r="AI52" s="116">
        <v>0</v>
      </c>
      <c r="AJ52" s="116">
        <v>0</v>
      </c>
      <c r="AK52" s="116">
        <v>0</v>
      </c>
      <c r="AL52" s="116">
        <v>0</v>
      </c>
      <c r="AM52" s="116">
        <v>0</v>
      </c>
      <c r="AN52" s="116">
        <v>0</v>
      </c>
      <c r="AO52" s="116">
        <v>0</v>
      </c>
      <c r="AP52" s="116">
        <v>0</v>
      </c>
      <c r="AQ52" s="116">
        <v>0</v>
      </c>
      <c r="AR52" s="116">
        <v>0</v>
      </c>
      <c r="AS52" s="116">
        <v>0</v>
      </c>
      <c r="AT52" s="116">
        <v>0</v>
      </c>
      <c r="AU52" s="116">
        <v>0</v>
      </c>
      <c r="AV52" s="116">
        <v>0</v>
      </c>
      <c r="AW52" s="116">
        <v>0</v>
      </c>
      <c r="AY52" s="116">
        <v>0</v>
      </c>
      <c r="AZ52" s="116">
        <v>0</v>
      </c>
      <c r="BA52" s="116">
        <v>0</v>
      </c>
      <c r="BB52" s="116">
        <v>0</v>
      </c>
      <c r="BC52" s="116">
        <v>187.613</v>
      </c>
      <c r="BD52" s="116">
        <v>0</v>
      </c>
      <c r="BE52" s="116">
        <v>0</v>
      </c>
      <c r="BF52" s="116">
        <v>0</v>
      </c>
      <c r="BG52" s="116">
        <v>0</v>
      </c>
      <c r="BH52" s="116">
        <v>0</v>
      </c>
      <c r="BI52" s="116">
        <v>0</v>
      </c>
      <c r="BK52" s="2">
        <f>SUM(B52:BJ52)</f>
        <v>32851.604</v>
      </c>
      <c r="BL52" s="2"/>
      <c r="BM52" s="2">
        <f t="shared" si="0"/>
        <v>6739.987</v>
      </c>
      <c r="BN52" s="2">
        <f>B52+D52+E52+F52+G52+H52+I52+J52+K52+L52+M52+N52+O52+P52+Q52+R52+S52+T52+U52+W52+X52+Y52+Z52+AA52+AB52+AC52+AE52+AF52+AG52+AI52+AJ52+AK52+AL52+AM52+AO52+AQ52+AT52+AV52+AX52+AY52+BA52+BC52+BH52+BI52+AR52+BF52</f>
        <v>26111.617000000002</v>
      </c>
      <c r="BO52" s="116"/>
      <c r="BP52" s="41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</row>
    <row r="53" spans="1:68" ht="8.25" customHeight="1">
      <c r="A53" s="24"/>
      <c r="BK53" s="2"/>
      <c r="BL53" s="2"/>
      <c r="BM53" s="2"/>
      <c r="BN53" s="2"/>
      <c r="BP53" s="41"/>
    </row>
    <row r="54" spans="1:68" ht="12.75">
      <c r="A54" s="26" t="s">
        <v>320</v>
      </c>
      <c r="BK54" s="2"/>
      <c r="BL54" s="2"/>
      <c r="BM54" s="2"/>
      <c r="BN54" s="2"/>
      <c r="BP54" s="41"/>
    </row>
    <row r="55" spans="1:68" ht="12.75">
      <c r="A55" s="26" t="s">
        <v>321</v>
      </c>
      <c r="B55" s="41">
        <f aca="true" t="shared" si="13" ref="B55:AG55">B11-B19+B33-B42-B48+B50-B52</f>
        <v>11986683.164000003</v>
      </c>
      <c r="C55" s="41">
        <f t="shared" si="13"/>
        <v>18531961.683999997</v>
      </c>
      <c r="D55" s="41">
        <f t="shared" si="13"/>
        <v>6441514.636</v>
      </c>
      <c r="E55" s="41">
        <f t="shared" si="13"/>
        <v>6794600.876</v>
      </c>
      <c r="F55" s="41">
        <f t="shared" si="13"/>
        <v>4985287.683999999</v>
      </c>
      <c r="G55" s="41">
        <f t="shared" si="13"/>
        <v>3021810.884</v>
      </c>
      <c r="H55" s="41">
        <f t="shared" si="13"/>
        <v>2214815.455</v>
      </c>
      <c r="I55" s="41">
        <f t="shared" si="13"/>
        <v>2054011.2750000001</v>
      </c>
      <c r="J55" s="41">
        <f t="shared" si="13"/>
        <v>1837330.345</v>
      </c>
      <c r="K55" s="41">
        <f t="shared" si="13"/>
        <v>2508362.844</v>
      </c>
      <c r="L55" s="41">
        <f t="shared" si="13"/>
        <v>1464743.9410000003</v>
      </c>
      <c r="M55" s="41">
        <f t="shared" si="13"/>
        <v>1768800.9060000002</v>
      </c>
      <c r="N55" s="41">
        <f t="shared" si="13"/>
        <v>898633.291</v>
      </c>
      <c r="O55" s="41">
        <f t="shared" si="13"/>
        <v>1918937.903</v>
      </c>
      <c r="P55" s="41">
        <f t="shared" si="13"/>
        <v>2372658.281</v>
      </c>
      <c r="Q55" s="41">
        <f t="shared" si="13"/>
        <v>996696.4429999997</v>
      </c>
      <c r="R55" s="41">
        <f t="shared" si="13"/>
        <v>1235877.8739999998</v>
      </c>
      <c r="S55" s="41">
        <f t="shared" si="13"/>
        <v>1674562.755</v>
      </c>
      <c r="T55" s="41">
        <f t="shared" si="13"/>
        <v>1084868.264</v>
      </c>
      <c r="U55" s="41">
        <f t="shared" si="13"/>
        <v>1911496.5019999996</v>
      </c>
      <c r="V55" s="41">
        <f t="shared" si="13"/>
        <v>1389818.982</v>
      </c>
      <c r="W55" s="41">
        <f t="shared" si="13"/>
        <v>552062.5869999999</v>
      </c>
      <c r="X55" s="41">
        <f t="shared" si="13"/>
        <v>289862.73099999997</v>
      </c>
      <c r="Y55" s="41">
        <f t="shared" si="13"/>
        <v>1777463</v>
      </c>
      <c r="Z55" s="41">
        <f t="shared" si="13"/>
        <v>761388.7509999999</v>
      </c>
      <c r="AA55" s="41">
        <f t="shared" si="13"/>
        <v>772240.5140000002</v>
      </c>
      <c r="AB55" s="41">
        <f t="shared" si="13"/>
        <v>855497.9909999999</v>
      </c>
      <c r="AC55" s="41">
        <f t="shared" si="13"/>
        <v>249718.43400000004</v>
      </c>
      <c r="AD55" s="41">
        <f t="shared" si="13"/>
        <v>161600.979</v>
      </c>
      <c r="AE55" s="41">
        <f t="shared" si="13"/>
        <v>578163.1520000001</v>
      </c>
      <c r="AF55" s="41">
        <f t="shared" si="13"/>
        <v>196302.736</v>
      </c>
      <c r="AG55" s="41">
        <f t="shared" si="13"/>
        <v>268341.67600000004</v>
      </c>
      <c r="AH55" s="41">
        <f aca="true" t="shared" si="14" ref="AH55:BI55">AH11-AH19+AH33-AH42-AH48+AH50-AH52</f>
        <v>156325.89899999998</v>
      </c>
      <c r="AI55" s="41">
        <f t="shared" si="14"/>
        <v>185692.55099999998</v>
      </c>
      <c r="AJ55" s="41">
        <f t="shared" si="14"/>
        <v>148816.84900000002</v>
      </c>
      <c r="AK55" s="41">
        <f t="shared" si="14"/>
        <v>145280.33099999998</v>
      </c>
      <c r="AL55" s="41">
        <f>AL11-AL19+AL33-AL42-AL48+AL50-AL52</f>
        <v>149764.82200000001</v>
      </c>
      <c r="AM55" s="41">
        <f>AM11-AM19+AM33-AM42-AM48+AM50-AM52</f>
        <v>89867.41500000001</v>
      </c>
      <c r="AN55" s="41">
        <f t="shared" si="14"/>
        <v>107448.128</v>
      </c>
      <c r="AO55" s="41">
        <f t="shared" si="14"/>
        <v>40154.90200000001</v>
      </c>
      <c r="AP55" s="41">
        <f t="shared" si="14"/>
        <v>138562.768</v>
      </c>
      <c r="AQ55" s="41">
        <f t="shared" si="14"/>
        <v>154008.279</v>
      </c>
      <c r="AR55" s="41">
        <f>AR11-AR19+AR33-AR42-AR48+AR50-AR52</f>
        <v>560062.868</v>
      </c>
      <c r="AS55" s="41">
        <f t="shared" si="14"/>
        <v>82465.764</v>
      </c>
      <c r="AT55" s="41">
        <f t="shared" si="14"/>
        <v>91580.405</v>
      </c>
      <c r="AU55" s="41">
        <f t="shared" si="14"/>
        <v>22280.509000000002</v>
      </c>
      <c r="AV55" s="41">
        <f t="shared" si="14"/>
        <v>9834.459000000006</v>
      </c>
      <c r="AW55" s="41">
        <f>AW11-AW19+AW33-AW42-AW48+AW50-AW52</f>
        <v>502072.17299999995</v>
      </c>
      <c r="AX55" s="41">
        <f t="shared" si="14"/>
        <v>7338.181</v>
      </c>
      <c r="AY55" s="41">
        <f t="shared" si="14"/>
        <v>-2223.045000000008</v>
      </c>
      <c r="AZ55" s="41">
        <f t="shared" si="14"/>
        <v>49835.88999999999</v>
      </c>
      <c r="BA55" s="41">
        <f t="shared" si="14"/>
        <v>-9441.015999999994</v>
      </c>
      <c r="BB55" s="41">
        <f t="shared" si="14"/>
        <v>10044.502999999999</v>
      </c>
      <c r="BC55" s="41">
        <f t="shared" si="14"/>
        <v>-6210.658999999999</v>
      </c>
      <c r="BD55" s="41">
        <f t="shared" si="14"/>
        <v>1719.029000000001</v>
      </c>
      <c r="BE55" s="41">
        <f t="shared" si="14"/>
        <v>-76491.369</v>
      </c>
      <c r="BF55" s="41">
        <f>BF11-BF19+BF33-BF42-BF48+BF50-BF52</f>
        <v>1626.5649999999996</v>
      </c>
      <c r="BG55" s="41">
        <f t="shared" si="14"/>
        <v>-9495.892000000003</v>
      </c>
      <c r="BH55" s="41">
        <f t="shared" si="14"/>
        <v>-3050.6200000000003</v>
      </c>
      <c r="BI55" s="41">
        <f t="shared" si="14"/>
        <v>-1215.1959999999997</v>
      </c>
      <c r="BK55" s="2">
        <f>SUM(B55:BJ55)</f>
        <v>86102771.033</v>
      </c>
      <c r="BL55" s="2"/>
      <c r="BM55" s="2">
        <f t="shared" si="0"/>
        <v>21068149.04699999</v>
      </c>
      <c r="BN55" s="2">
        <f>B55+D55+E55+F55+G55+H55+I55+J55+K55+L55+M55+N55+O55+P55+Q55+R55+S55+T55+U55+W55+X55+Y55+Z55+AA55+AB55+AC55+AE55+AF55+AG55+AI55+AJ55+AK55+AL55+AM55+AO55+AQ55+AT55+AV55+AX55+AY55+BA55+BC55+BH55+BI55+AR55+BF55</f>
        <v>65034621.98599999</v>
      </c>
      <c r="BO55" s="41"/>
      <c r="BP55" s="41"/>
    </row>
    <row r="56" spans="1:68" ht="8.25" customHeight="1">
      <c r="A56" s="24"/>
      <c r="BK56" s="2"/>
      <c r="BL56" s="2"/>
      <c r="BM56" s="2"/>
      <c r="BN56" s="2"/>
      <c r="BP56" s="41"/>
    </row>
    <row r="57" spans="1:68" ht="12.75">
      <c r="A57" s="26" t="s">
        <v>322</v>
      </c>
      <c r="B57" s="41">
        <f aca="true" t="shared" si="15" ref="B57:AG57">B58+B59</f>
        <v>0</v>
      </c>
      <c r="C57" s="41">
        <f t="shared" si="15"/>
        <v>0</v>
      </c>
      <c r="D57" s="41">
        <f t="shared" si="15"/>
        <v>0</v>
      </c>
      <c r="E57" s="41">
        <f t="shared" si="15"/>
        <v>0</v>
      </c>
      <c r="F57" s="41">
        <f t="shared" si="15"/>
        <v>0</v>
      </c>
      <c r="G57" s="41">
        <f t="shared" si="15"/>
        <v>0</v>
      </c>
      <c r="H57" s="41">
        <f t="shared" si="15"/>
        <v>0</v>
      </c>
      <c r="I57" s="41">
        <f t="shared" si="15"/>
        <v>0</v>
      </c>
      <c r="J57" s="41">
        <f t="shared" si="15"/>
        <v>0</v>
      </c>
      <c r="K57" s="41">
        <f t="shared" si="15"/>
        <v>0</v>
      </c>
      <c r="L57" s="41">
        <f t="shared" si="15"/>
        <v>0</v>
      </c>
      <c r="M57" s="41">
        <f t="shared" si="15"/>
        <v>0</v>
      </c>
      <c r="N57" s="41">
        <f t="shared" si="15"/>
        <v>0</v>
      </c>
      <c r="O57" s="41">
        <f t="shared" si="15"/>
        <v>0</v>
      </c>
      <c r="P57" s="41">
        <f t="shared" si="15"/>
        <v>0</v>
      </c>
      <c r="Q57" s="41">
        <f t="shared" si="15"/>
        <v>0</v>
      </c>
      <c r="R57" s="41">
        <f t="shared" si="15"/>
        <v>0</v>
      </c>
      <c r="S57" s="41">
        <f t="shared" si="15"/>
        <v>0</v>
      </c>
      <c r="T57" s="41">
        <f t="shared" si="15"/>
        <v>0</v>
      </c>
      <c r="U57" s="41">
        <f t="shared" si="15"/>
        <v>0</v>
      </c>
      <c r="V57" s="41">
        <f t="shared" si="15"/>
        <v>0</v>
      </c>
      <c r="W57" s="41">
        <f t="shared" si="15"/>
        <v>0</v>
      </c>
      <c r="X57" s="41">
        <f t="shared" si="15"/>
        <v>0</v>
      </c>
      <c r="Y57" s="41">
        <f t="shared" si="15"/>
        <v>0</v>
      </c>
      <c r="Z57" s="41">
        <f t="shared" si="15"/>
        <v>0</v>
      </c>
      <c r="AA57" s="41">
        <f t="shared" si="15"/>
        <v>0</v>
      </c>
      <c r="AB57" s="41">
        <f t="shared" si="15"/>
        <v>0</v>
      </c>
      <c r="AC57" s="41">
        <f t="shared" si="15"/>
        <v>0</v>
      </c>
      <c r="AD57" s="41">
        <f t="shared" si="15"/>
        <v>0</v>
      </c>
      <c r="AE57" s="41">
        <f t="shared" si="15"/>
        <v>0</v>
      </c>
      <c r="AF57" s="41">
        <f t="shared" si="15"/>
        <v>0</v>
      </c>
      <c r="AG57" s="41">
        <f t="shared" si="15"/>
        <v>0</v>
      </c>
      <c r="AH57" s="41">
        <f aca="true" t="shared" si="16" ref="AH57:BI57">AH58+AH59</f>
        <v>0</v>
      </c>
      <c r="AI57" s="41">
        <f t="shared" si="16"/>
        <v>0</v>
      </c>
      <c r="AJ57" s="41">
        <f t="shared" si="16"/>
        <v>0</v>
      </c>
      <c r="AK57" s="41">
        <f t="shared" si="16"/>
        <v>0</v>
      </c>
      <c r="AL57" s="41">
        <f>AL58+AL59</f>
        <v>0</v>
      </c>
      <c r="AM57" s="41">
        <f>AM58+AM59</f>
        <v>0</v>
      </c>
      <c r="AN57" s="41">
        <f t="shared" si="16"/>
        <v>0</v>
      </c>
      <c r="AO57" s="41">
        <f t="shared" si="16"/>
        <v>0</v>
      </c>
      <c r="AP57" s="41">
        <f t="shared" si="16"/>
        <v>0</v>
      </c>
      <c r="AQ57" s="41">
        <f t="shared" si="16"/>
        <v>0</v>
      </c>
      <c r="AR57" s="41">
        <f>AR58+AR59</f>
        <v>0</v>
      </c>
      <c r="AS57" s="41">
        <f t="shared" si="16"/>
        <v>0</v>
      </c>
      <c r="AT57" s="41">
        <f t="shared" si="16"/>
        <v>0</v>
      </c>
      <c r="AU57" s="41">
        <f t="shared" si="16"/>
        <v>0</v>
      </c>
      <c r="AV57" s="41">
        <f t="shared" si="16"/>
        <v>0</v>
      </c>
      <c r="AW57" s="41">
        <f>AW58+AW59</f>
        <v>0</v>
      </c>
      <c r="AX57" s="41">
        <f t="shared" si="16"/>
        <v>0</v>
      </c>
      <c r="AY57" s="41">
        <f t="shared" si="16"/>
        <v>5475.154</v>
      </c>
      <c r="AZ57" s="41">
        <f t="shared" si="16"/>
        <v>0</v>
      </c>
      <c r="BA57" s="41">
        <f t="shared" si="16"/>
        <v>0</v>
      </c>
      <c r="BB57" s="41">
        <f t="shared" si="16"/>
        <v>0</v>
      </c>
      <c r="BC57" s="41">
        <f t="shared" si="16"/>
        <v>0</v>
      </c>
      <c r="BD57" s="41">
        <f t="shared" si="16"/>
        <v>0</v>
      </c>
      <c r="BE57" s="41">
        <f t="shared" si="16"/>
        <v>0</v>
      </c>
      <c r="BF57" s="41">
        <f>BF58+BF59</f>
        <v>0</v>
      </c>
      <c r="BG57" s="41">
        <f t="shared" si="16"/>
        <v>0</v>
      </c>
      <c r="BH57" s="41">
        <f t="shared" si="16"/>
        <v>0</v>
      </c>
      <c r="BI57" s="41">
        <f t="shared" si="16"/>
        <v>0</v>
      </c>
      <c r="BK57" s="2">
        <f>SUM(B57:BJ57)</f>
        <v>5475.154</v>
      </c>
      <c r="BL57" s="2"/>
      <c r="BM57" s="2">
        <f t="shared" si="0"/>
        <v>0</v>
      </c>
      <c r="BN57" s="2">
        <f>B57+D57+E57+F57+G57+H57+I57+J57+K57+L57+M57+N57+O57+P57+Q57+R57+S57+T57+U57+W57+X57+Y57+Z57+AA57+AB57+AC57+AE57+AF57+AG57+AI57+AJ57+AK57+AL57+AM57+AO57+AQ57+AT57+AV57+AX57+AY57+BA57+BC57+BH57+BI57+AR57+BF57</f>
        <v>5475.154</v>
      </c>
      <c r="BO57" s="41"/>
      <c r="BP57" s="41"/>
    </row>
    <row r="58" spans="1:94" ht="12.75">
      <c r="A58" s="25" t="s">
        <v>290</v>
      </c>
      <c r="B58" s="116">
        <v>0</v>
      </c>
      <c r="C58" s="116">
        <v>0</v>
      </c>
      <c r="D58" s="116">
        <v>0</v>
      </c>
      <c r="E58" s="116">
        <v>0</v>
      </c>
      <c r="F58" s="116">
        <v>0</v>
      </c>
      <c r="G58" s="116">
        <v>0</v>
      </c>
      <c r="H58" s="116">
        <v>0</v>
      </c>
      <c r="I58" s="116">
        <v>0</v>
      </c>
      <c r="J58" s="116">
        <v>0</v>
      </c>
      <c r="K58" s="116">
        <v>0</v>
      </c>
      <c r="L58" s="116">
        <v>0</v>
      </c>
      <c r="M58" s="116">
        <v>0</v>
      </c>
      <c r="N58" s="116">
        <v>0</v>
      </c>
      <c r="O58" s="116">
        <v>0</v>
      </c>
      <c r="P58" s="116">
        <v>0</v>
      </c>
      <c r="Q58" s="116">
        <v>0</v>
      </c>
      <c r="R58" s="116">
        <v>0</v>
      </c>
      <c r="S58" s="116">
        <v>0</v>
      </c>
      <c r="T58" s="116">
        <v>0</v>
      </c>
      <c r="U58" s="116">
        <v>0</v>
      </c>
      <c r="V58" s="116">
        <v>0</v>
      </c>
      <c r="W58" s="116">
        <v>0</v>
      </c>
      <c r="X58" s="116">
        <v>0</v>
      </c>
      <c r="Y58" s="116">
        <v>0</v>
      </c>
      <c r="Z58" s="116">
        <v>0</v>
      </c>
      <c r="AA58" s="116">
        <v>0</v>
      </c>
      <c r="AB58" s="116">
        <v>0</v>
      </c>
      <c r="AC58" s="116">
        <v>0</v>
      </c>
      <c r="AD58" s="116">
        <v>0</v>
      </c>
      <c r="AE58" s="116">
        <v>0</v>
      </c>
      <c r="AF58" s="116">
        <v>0</v>
      </c>
      <c r="AG58" s="116">
        <v>0</v>
      </c>
      <c r="AH58" s="116">
        <v>0</v>
      </c>
      <c r="AI58" s="116">
        <v>0</v>
      </c>
      <c r="AJ58" s="116">
        <v>0</v>
      </c>
      <c r="AK58" s="116">
        <v>0</v>
      </c>
      <c r="AL58" s="116">
        <v>0</v>
      </c>
      <c r="AM58" s="116">
        <v>0</v>
      </c>
      <c r="AN58" s="116">
        <v>0</v>
      </c>
      <c r="AO58" s="116">
        <v>0</v>
      </c>
      <c r="AP58" s="116">
        <v>0</v>
      </c>
      <c r="AQ58" s="116">
        <v>0</v>
      </c>
      <c r="AR58" s="116">
        <v>0</v>
      </c>
      <c r="AS58" s="116">
        <v>0</v>
      </c>
      <c r="AT58" s="116">
        <v>0</v>
      </c>
      <c r="AU58" s="116">
        <v>0</v>
      </c>
      <c r="AV58" s="116">
        <v>0</v>
      </c>
      <c r="AW58" s="116">
        <v>0</v>
      </c>
      <c r="AX58" s="116">
        <v>0</v>
      </c>
      <c r="AY58" s="116">
        <v>5475.154</v>
      </c>
      <c r="AZ58" s="116">
        <v>0</v>
      </c>
      <c r="BA58" s="116">
        <v>0</v>
      </c>
      <c r="BB58" s="116">
        <v>0</v>
      </c>
      <c r="BC58" s="116">
        <v>0</v>
      </c>
      <c r="BD58" s="116">
        <v>0</v>
      </c>
      <c r="BE58" s="116">
        <v>0</v>
      </c>
      <c r="BF58" s="116">
        <v>0</v>
      </c>
      <c r="BG58" s="116">
        <v>0</v>
      </c>
      <c r="BH58" s="116">
        <v>0</v>
      </c>
      <c r="BI58" s="116">
        <v>0</v>
      </c>
      <c r="BK58" s="2">
        <f>SUM(B58:BJ58)</f>
        <v>5475.154</v>
      </c>
      <c r="BL58" s="2"/>
      <c r="BM58" s="2">
        <f t="shared" si="0"/>
        <v>0</v>
      </c>
      <c r="BN58" s="2">
        <f>B58+D58+E58+F58+G58+H58+I58+J58+K58+L58+M58+N58+O58+P58+Q58+R58+S58+T58+U58+W58+X58+Y58+Z58+AA58+AB58+AC58+AE58+AF58+AG58+AI58+AJ58+AK58+AL58+AM58+AO58+AQ58+AT58+AV58+AX58+AY58+BA58+BC58+BH58+BI58+AR58+BF58</f>
        <v>5475.154</v>
      </c>
      <c r="BO58" s="116"/>
      <c r="BP58" s="41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</row>
    <row r="59" spans="1:94" ht="12.75">
      <c r="A59" s="25" t="s">
        <v>291</v>
      </c>
      <c r="B59" s="116">
        <v>0</v>
      </c>
      <c r="C59" s="116">
        <v>0</v>
      </c>
      <c r="D59" s="116">
        <v>0</v>
      </c>
      <c r="E59" s="116">
        <v>0</v>
      </c>
      <c r="F59" s="116">
        <v>0</v>
      </c>
      <c r="G59" s="116">
        <v>0</v>
      </c>
      <c r="H59" s="116">
        <v>0</v>
      </c>
      <c r="I59" s="116">
        <v>0</v>
      </c>
      <c r="J59" s="116">
        <v>0</v>
      </c>
      <c r="K59" s="116">
        <v>0</v>
      </c>
      <c r="L59" s="116">
        <v>0</v>
      </c>
      <c r="M59" s="116">
        <v>0</v>
      </c>
      <c r="N59" s="116">
        <v>0</v>
      </c>
      <c r="O59" s="116">
        <v>0</v>
      </c>
      <c r="P59" s="116">
        <v>0</v>
      </c>
      <c r="Q59" s="116">
        <v>0</v>
      </c>
      <c r="R59" s="116">
        <v>0</v>
      </c>
      <c r="S59" s="116">
        <v>0</v>
      </c>
      <c r="T59" s="116">
        <v>0</v>
      </c>
      <c r="U59" s="116">
        <v>0</v>
      </c>
      <c r="V59" s="116">
        <v>0</v>
      </c>
      <c r="W59" s="116">
        <v>0</v>
      </c>
      <c r="X59" s="116">
        <v>0</v>
      </c>
      <c r="Y59" s="116">
        <v>0</v>
      </c>
      <c r="Z59" s="116">
        <v>0</v>
      </c>
      <c r="AA59" s="116">
        <v>0</v>
      </c>
      <c r="AB59" s="116">
        <v>0</v>
      </c>
      <c r="AC59" s="116">
        <v>0</v>
      </c>
      <c r="AD59" s="116">
        <v>0</v>
      </c>
      <c r="AE59" s="116">
        <v>0</v>
      </c>
      <c r="AF59" s="116">
        <v>0</v>
      </c>
      <c r="AG59" s="116">
        <v>0</v>
      </c>
      <c r="AH59" s="116">
        <v>0</v>
      </c>
      <c r="AI59" s="116">
        <v>0</v>
      </c>
      <c r="AJ59" s="116">
        <v>0</v>
      </c>
      <c r="AK59" s="116">
        <v>0</v>
      </c>
      <c r="AL59" s="116">
        <v>0</v>
      </c>
      <c r="AM59" s="116">
        <v>0</v>
      </c>
      <c r="AN59" s="116">
        <v>0</v>
      </c>
      <c r="AO59" s="116">
        <v>0</v>
      </c>
      <c r="AP59" s="116">
        <v>0</v>
      </c>
      <c r="AQ59" s="116">
        <v>0</v>
      </c>
      <c r="AR59" s="116">
        <v>0</v>
      </c>
      <c r="AS59" s="116">
        <v>0</v>
      </c>
      <c r="AT59" s="116">
        <v>0</v>
      </c>
      <c r="AU59" s="116">
        <v>0</v>
      </c>
      <c r="AV59" s="116">
        <v>0</v>
      </c>
      <c r="AW59" s="116">
        <v>0</v>
      </c>
      <c r="AX59" s="116">
        <v>0</v>
      </c>
      <c r="AY59" s="116">
        <v>0</v>
      </c>
      <c r="AZ59" s="116">
        <v>0</v>
      </c>
      <c r="BA59" s="116">
        <v>0</v>
      </c>
      <c r="BB59" s="116">
        <v>0</v>
      </c>
      <c r="BC59" s="116">
        <v>0</v>
      </c>
      <c r="BD59" s="116">
        <v>0</v>
      </c>
      <c r="BE59" s="116">
        <v>0</v>
      </c>
      <c r="BF59" s="116">
        <v>0</v>
      </c>
      <c r="BG59" s="116">
        <v>0</v>
      </c>
      <c r="BH59" s="116">
        <v>0</v>
      </c>
      <c r="BI59" s="116">
        <v>0</v>
      </c>
      <c r="BK59" s="2">
        <f>SUM(B59:BJ59)</f>
        <v>0</v>
      </c>
      <c r="BL59" s="2"/>
      <c r="BM59" s="2">
        <f t="shared" si="0"/>
        <v>0</v>
      </c>
      <c r="BN59" s="2">
        <f>B59+D59+E59+F59+G59+H59+I59+J59+K59+L59+M59+N59+O59+P59+Q59+R59+S59+T59+U59+W59+X59+Y59+Z59+AA59+AB59+AC59+AE59+AF59+AG59+AI59+AJ59+AK59+AL59+AM59+AO59+AQ59+AT59+AV59+AX59+AY59+BA59+BC59+BH59+BI59+AR59+BF59</f>
        <v>0</v>
      </c>
      <c r="BO59" s="116"/>
      <c r="BP59" s="41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</row>
    <row r="60" spans="1:68" ht="8.25" customHeight="1">
      <c r="A60" s="26"/>
      <c r="BK60" s="2"/>
      <c r="BL60" s="2"/>
      <c r="BM60" s="2"/>
      <c r="BN60" s="2"/>
      <c r="BP60" s="41"/>
    </row>
    <row r="61" spans="1:73" ht="12.75">
      <c r="A61" s="26" t="s">
        <v>323</v>
      </c>
      <c r="B61" s="116">
        <v>2757534.373</v>
      </c>
      <c r="C61" s="116">
        <v>2733467.111</v>
      </c>
      <c r="D61" s="116">
        <v>2248032.246</v>
      </c>
      <c r="E61" s="116">
        <v>1922403.689</v>
      </c>
      <c r="F61" s="116">
        <v>1935282.332</v>
      </c>
      <c r="G61" s="116">
        <v>914918.218</v>
      </c>
      <c r="H61" s="116">
        <v>833571.24</v>
      </c>
      <c r="I61" s="116">
        <v>856560.157</v>
      </c>
      <c r="J61" s="116">
        <v>675773.448</v>
      </c>
      <c r="K61" s="116">
        <v>707249.081</v>
      </c>
      <c r="L61" s="116">
        <v>676445.627</v>
      </c>
      <c r="M61" s="116">
        <v>598659.733</v>
      </c>
      <c r="N61" s="116">
        <v>580475.226</v>
      </c>
      <c r="O61" s="116">
        <v>553480.427</v>
      </c>
      <c r="P61" s="116">
        <f>483678.162+860.88</f>
        <v>484539.042</v>
      </c>
      <c r="Q61" s="116">
        <v>488298.382</v>
      </c>
      <c r="R61" s="116">
        <v>469027.091</v>
      </c>
      <c r="S61" s="116">
        <v>351921.024</v>
      </c>
      <c r="T61" s="116">
        <v>332708.085</v>
      </c>
      <c r="U61" s="116">
        <v>300904.287</v>
      </c>
      <c r="V61" s="116">
        <v>297247.962</v>
      </c>
      <c r="W61" s="116">
        <v>312156.88</v>
      </c>
      <c r="X61" s="116">
        <v>309756.655</v>
      </c>
      <c r="Y61" s="116">
        <v>200740</v>
      </c>
      <c r="Z61" s="116">
        <v>250473.265</v>
      </c>
      <c r="AA61" s="116">
        <v>241693.359</v>
      </c>
      <c r="AB61" s="116">
        <v>152909.336</v>
      </c>
      <c r="AC61" s="116">
        <v>153776.295</v>
      </c>
      <c r="AD61" s="116">
        <v>155272.095</v>
      </c>
      <c r="AE61" s="116">
        <v>136240.255</v>
      </c>
      <c r="AF61" s="116">
        <v>145791.193</v>
      </c>
      <c r="AG61" s="116">
        <v>137603.292</v>
      </c>
      <c r="AH61" s="116">
        <v>130402.906</v>
      </c>
      <c r="AI61" s="116">
        <v>99642.818</v>
      </c>
      <c r="AJ61" s="116">
        <v>99164.806</v>
      </c>
      <c r="AK61" s="116">
        <v>83166.664</v>
      </c>
      <c r="AL61" s="116">
        <v>77620.873</v>
      </c>
      <c r="AM61" s="116">
        <v>77692.084</v>
      </c>
      <c r="AN61" s="116">
        <v>63789.555</v>
      </c>
      <c r="AO61" s="116">
        <v>60452.85</v>
      </c>
      <c r="AP61" s="116">
        <f>54761.43+2962.623</f>
        <v>57724.053</v>
      </c>
      <c r="AQ61" s="116">
        <v>52646.603</v>
      </c>
      <c r="AR61" s="116">
        <v>34428.503</v>
      </c>
      <c r="AS61" s="116">
        <v>50176.592</v>
      </c>
      <c r="AT61" s="116">
        <v>48558.211</v>
      </c>
      <c r="AU61" s="116">
        <v>37214.417</v>
      </c>
      <c r="AV61" s="116">
        <v>34986.773</v>
      </c>
      <c r="AW61" s="116">
        <v>17323.607</v>
      </c>
      <c r="AX61" s="116">
        <v>30237.281</v>
      </c>
      <c r="AY61" s="116">
        <v>24384.45</v>
      </c>
      <c r="AZ61" s="116">
        <v>22477.697</v>
      </c>
      <c r="BA61" s="116">
        <f>21963.814+792</f>
        <v>22755.814</v>
      </c>
      <c r="BB61" s="116">
        <v>14140.371</v>
      </c>
      <c r="BC61" s="116">
        <v>9096.967</v>
      </c>
      <c r="BD61" s="116">
        <v>8629.28</v>
      </c>
      <c r="BE61" s="116">
        <v>9160.879</v>
      </c>
      <c r="BF61" s="116">
        <v>-21.105</v>
      </c>
      <c r="BG61" s="116">
        <v>4633.542</v>
      </c>
      <c r="BH61" s="116">
        <v>1976.605</v>
      </c>
      <c r="BI61" s="116">
        <v>574.334</v>
      </c>
      <c r="BK61" s="2">
        <f>SUM(B61:BJ61)</f>
        <v>24087948.836</v>
      </c>
      <c r="BL61" s="2"/>
      <c r="BM61" s="2">
        <f t="shared" si="0"/>
        <v>3601660.067</v>
      </c>
      <c r="BN61" s="2">
        <f>B61+D61+E61+F61+G61+H61+I61+J61+K61+L61+M61+N61+O61+P61+Q61+R61+S61+T61+U61+W61+X61+Y61+Z61+AA61+AB61+AC61+AE61+AF61+AG61+AI61+AJ61+AK61+AL61+AM61+AO61+AQ61+AT61+AV61+AX61+AY61+BA61+BC61+BH61+BI61+AR61+BF61</f>
        <v>20486288.768999998</v>
      </c>
      <c r="BO61" s="116"/>
      <c r="BP61" s="41"/>
      <c r="BQ61" s="13"/>
      <c r="BR61" s="13"/>
      <c r="BS61" s="13"/>
      <c r="BT61" s="13"/>
      <c r="BU61" s="13"/>
    </row>
    <row r="62" spans="1:68" ht="8.25" customHeight="1">
      <c r="A62" s="26"/>
      <c r="BK62" s="2"/>
      <c r="BL62" s="2"/>
      <c r="BM62" s="2"/>
      <c r="BN62" s="2"/>
      <c r="BP62" s="41"/>
    </row>
    <row r="63" spans="1:68" ht="12.75">
      <c r="A63" s="26" t="s">
        <v>324</v>
      </c>
      <c r="B63" s="41">
        <f aca="true" t="shared" si="17" ref="B63:AG63">B55+B57+B61</f>
        <v>14744217.537000002</v>
      </c>
      <c r="C63" s="41">
        <f t="shared" si="17"/>
        <v>21265428.794999998</v>
      </c>
      <c r="D63" s="41">
        <f t="shared" si="17"/>
        <v>8689546.882</v>
      </c>
      <c r="E63" s="41">
        <f t="shared" si="17"/>
        <v>8717004.565</v>
      </c>
      <c r="F63" s="41">
        <f t="shared" si="17"/>
        <v>6920570.015999999</v>
      </c>
      <c r="G63" s="41">
        <f t="shared" si="17"/>
        <v>3936729.102</v>
      </c>
      <c r="H63" s="41">
        <f t="shared" si="17"/>
        <v>3048386.6950000003</v>
      </c>
      <c r="I63" s="41">
        <f t="shared" si="17"/>
        <v>2910571.432</v>
      </c>
      <c r="J63" s="41">
        <f t="shared" si="17"/>
        <v>2513103.793</v>
      </c>
      <c r="K63" s="41">
        <f t="shared" si="17"/>
        <v>3215611.925</v>
      </c>
      <c r="L63" s="41">
        <f t="shared" si="17"/>
        <v>2141189.5680000004</v>
      </c>
      <c r="M63" s="41">
        <f t="shared" si="17"/>
        <v>2367460.6390000004</v>
      </c>
      <c r="N63" s="41">
        <f t="shared" si="17"/>
        <v>1479108.517</v>
      </c>
      <c r="O63" s="41">
        <f t="shared" si="17"/>
        <v>2472418.33</v>
      </c>
      <c r="P63" s="41">
        <f t="shared" si="17"/>
        <v>2857197.323</v>
      </c>
      <c r="Q63" s="41">
        <f t="shared" si="17"/>
        <v>1484994.8249999997</v>
      </c>
      <c r="R63" s="41">
        <f t="shared" si="17"/>
        <v>1704904.9649999999</v>
      </c>
      <c r="S63" s="41">
        <f t="shared" si="17"/>
        <v>2026483.7789999999</v>
      </c>
      <c r="T63" s="41">
        <f t="shared" si="17"/>
        <v>1417576.349</v>
      </c>
      <c r="U63" s="41">
        <f t="shared" si="17"/>
        <v>2212400.789</v>
      </c>
      <c r="V63" s="41">
        <f t="shared" si="17"/>
        <v>1687066.9440000001</v>
      </c>
      <c r="W63" s="41">
        <f t="shared" si="17"/>
        <v>864219.467</v>
      </c>
      <c r="X63" s="41">
        <f t="shared" si="17"/>
        <v>599619.3859999999</v>
      </c>
      <c r="Y63" s="41">
        <f t="shared" si="17"/>
        <v>1978203</v>
      </c>
      <c r="Z63" s="41">
        <f t="shared" si="17"/>
        <v>1011862.016</v>
      </c>
      <c r="AA63" s="41">
        <f t="shared" si="17"/>
        <v>1013933.8730000001</v>
      </c>
      <c r="AB63" s="41">
        <f t="shared" si="17"/>
        <v>1008407.3269999999</v>
      </c>
      <c r="AC63" s="41">
        <f t="shared" si="17"/>
        <v>403494.72900000005</v>
      </c>
      <c r="AD63" s="41">
        <f t="shared" si="17"/>
        <v>316873.074</v>
      </c>
      <c r="AE63" s="41">
        <f t="shared" si="17"/>
        <v>714403.4070000001</v>
      </c>
      <c r="AF63" s="41">
        <f t="shared" si="17"/>
        <v>342093.929</v>
      </c>
      <c r="AG63" s="41">
        <f t="shared" si="17"/>
        <v>405944.968</v>
      </c>
      <c r="AH63" s="41">
        <f aca="true" t="shared" si="18" ref="AH63:BI63">AH55+AH57+AH61</f>
        <v>286728.805</v>
      </c>
      <c r="AI63" s="41">
        <f t="shared" si="18"/>
        <v>285335.36899999995</v>
      </c>
      <c r="AJ63" s="41">
        <f t="shared" si="18"/>
        <v>247981.65500000003</v>
      </c>
      <c r="AK63" s="41">
        <f t="shared" si="18"/>
        <v>228446.995</v>
      </c>
      <c r="AL63" s="41">
        <f>AL55+AL57+AL61</f>
        <v>227385.695</v>
      </c>
      <c r="AM63" s="41">
        <f>AM55+AM57+AM61</f>
        <v>167559.499</v>
      </c>
      <c r="AN63" s="41">
        <f t="shared" si="18"/>
        <v>171237.683</v>
      </c>
      <c r="AO63" s="41">
        <f t="shared" si="18"/>
        <v>100607.75200000001</v>
      </c>
      <c r="AP63" s="41">
        <f t="shared" si="18"/>
        <v>196286.821</v>
      </c>
      <c r="AQ63" s="41">
        <f t="shared" si="18"/>
        <v>206654.882</v>
      </c>
      <c r="AR63" s="41">
        <f>AR55+AR57+AR61</f>
        <v>594491.371</v>
      </c>
      <c r="AS63" s="41">
        <f t="shared" si="18"/>
        <v>132642.356</v>
      </c>
      <c r="AT63" s="41">
        <f t="shared" si="18"/>
        <v>140138.616</v>
      </c>
      <c r="AU63" s="41">
        <f t="shared" si="18"/>
        <v>59494.92600000001</v>
      </c>
      <c r="AV63" s="41">
        <f t="shared" si="18"/>
        <v>44821.232</v>
      </c>
      <c r="AW63" s="41">
        <f>AW55+AW57+AW61</f>
        <v>519395.77999999997</v>
      </c>
      <c r="AX63" s="41">
        <f t="shared" si="18"/>
        <v>37575.462</v>
      </c>
      <c r="AY63" s="41">
        <f t="shared" si="18"/>
        <v>27636.558999999994</v>
      </c>
      <c r="AZ63" s="41">
        <f t="shared" si="18"/>
        <v>72313.587</v>
      </c>
      <c r="BA63" s="41">
        <f t="shared" si="18"/>
        <v>13314.798000000004</v>
      </c>
      <c r="BB63" s="41">
        <f t="shared" si="18"/>
        <v>24184.873999999996</v>
      </c>
      <c r="BC63" s="41">
        <f t="shared" si="18"/>
        <v>2886.308000000002</v>
      </c>
      <c r="BD63" s="41">
        <f t="shared" si="18"/>
        <v>10348.309000000001</v>
      </c>
      <c r="BE63" s="41">
        <f t="shared" si="18"/>
        <v>-67330.49</v>
      </c>
      <c r="BF63" s="41">
        <f>BF55+BF57+BF61</f>
        <v>1605.4599999999996</v>
      </c>
      <c r="BG63" s="41">
        <f t="shared" si="18"/>
        <v>-4862.350000000003</v>
      </c>
      <c r="BH63" s="41">
        <f t="shared" si="18"/>
        <v>-1074.0150000000003</v>
      </c>
      <c r="BI63" s="41">
        <f t="shared" si="18"/>
        <v>-640.8619999999997</v>
      </c>
      <c r="BK63" s="2">
        <f>SUM(B63:BJ63)</f>
        <v>110196195.02300003</v>
      </c>
      <c r="BL63" s="2"/>
      <c r="BM63" s="2">
        <f t="shared" si="0"/>
        <v>24669809.114</v>
      </c>
      <c r="BN63" s="2">
        <f>B63+D63+E63+F63+G63+H63+I63+J63+K63+L63+M63+N63+O63+P63+Q63+R63+S63+T63+U63+W63+X63+Y63+Z63+AA63+AB63+AC63+AE63+AF63+AG63+AI63+AJ63+AK63+AL63+AM63+AO63+AQ63+AT63+AV63+AX63+AY63+BA63+BC63+BH63+BI63+AR63+BF63</f>
        <v>85526385.909</v>
      </c>
      <c r="BO63" s="41"/>
      <c r="BP63" s="41"/>
    </row>
    <row r="64" spans="1:68" ht="8.25" customHeight="1">
      <c r="A64" s="24"/>
      <c r="BK64" s="2"/>
      <c r="BL64" s="2"/>
      <c r="BM64" s="2"/>
      <c r="BN64" s="2"/>
      <c r="BP64" s="41"/>
    </row>
    <row r="65" spans="1:68" ht="12.75">
      <c r="A65" s="26" t="s">
        <v>325</v>
      </c>
      <c r="B65" s="116">
        <v>60859823.211</v>
      </c>
      <c r="C65" s="116">
        <v>39840414.886</v>
      </c>
      <c r="D65" s="116">
        <v>36889115.788</v>
      </c>
      <c r="E65" s="116">
        <v>30829389.566</v>
      </c>
      <c r="F65" s="116">
        <v>32018392.846</v>
      </c>
      <c r="G65" s="116">
        <v>14796322.698</v>
      </c>
      <c r="H65" s="116">
        <v>14658914.538</v>
      </c>
      <c r="I65" s="116">
        <v>14242356.033</v>
      </c>
      <c r="J65" s="116">
        <v>12055750.979</v>
      </c>
      <c r="K65" s="116">
        <v>11328355.783</v>
      </c>
      <c r="L65" s="116">
        <v>11327795.789</v>
      </c>
      <c r="M65" s="116">
        <v>9791024.37</v>
      </c>
      <c r="N65" s="116">
        <v>9900849.698</v>
      </c>
      <c r="O65" s="116">
        <v>8906129.371</v>
      </c>
      <c r="P65" s="116">
        <v>7450892.072</v>
      </c>
      <c r="Q65" s="116">
        <v>8211072.188</v>
      </c>
      <c r="R65" s="116">
        <v>7749802.787</v>
      </c>
      <c r="S65" s="116">
        <v>5437657.947</v>
      </c>
      <c r="T65" s="116">
        <v>5482530.702</v>
      </c>
      <c r="U65" s="116">
        <v>4405226.127</v>
      </c>
      <c r="V65" s="116">
        <v>4632716.112</v>
      </c>
      <c r="W65" s="116">
        <v>5289685.843</v>
      </c>
      <c r="X65" s="116">
        <v>5379294.343</v>
      </c>
      <c r="Y65" s="116">
        <f>2002557+1459597</f>
        <v>3462154</v>
      </c>
      <c r="Z65" s="116">
        <v>4084238.033</v>
      </c>
      <c r="AA65" s="116">
        <v>3921718.433</v>
      </c>
      <c r="AB65" s="116">
        <v>2314143.183</v>
      </c>
      <c r="AC65" s="116">
        <v>2626303.382</v>
      </c>
      <c r="AD65" s="116">
        <v>2688005.632</v>
      </c>
      <c r="AE65" s="116">
        <f>2150288.074+9034.366</f>
        <v>2159322.44</v>
      </c>
      <c r="AF65" s="116">
        <v>2501463.648</v>
      </c>
      <c r="AG65" s="116">
        <v>2328985.67</v>
      </c>
      <c r="AH65" s="116">
        <v>2247105.389</v>
      </c>
      <c r="AI65" s="116">
        <v>1683730.152</v>
      </c>
      <c r="AJ65" s="116">
        <v>1693763.631</v>
      </c>
      <c r="AK65" s="116">
        <v>1417460.116</v>
      </c>
      <c r="AL65" s="116">
        <v>1309040.281</v>
      </c>
      <c r="AM65" s="116">
        <v>1340442.706</v>
      </c>
      <c r="AN65" s="116">
        <v>1083640.481</v>
      </c>
      <c r="AO65" s="116">
        <v>1057977.597</v>
      </c>
      <c r="AP65" s="116">
        <f>925320.024+22743.787</f>
        <v>948063.811</v>
      </c>
      <c r="AQ65" s="116">
        <v>865113.404</v>
      </c>
      <c r="AR65" s="116">
        <v>439324.183</v>
      </c>
      <c r="AS65" s="116">
        <v>853427.344</v>
      </c>
      <c r="AT65" s="116">
        <v>819905.77</v>
      </c>
      <c r="AU65" s="116">
        <v>653442.095</v>
      </c>
      <c r="AV65" s="116">
        <v>619040.726</v>
      </c>
      <c r="AW65" s="116">
        <v>56446.846</v>
      </c>
      <c r="AX65" s="116">
        <v>535622.872</v>
      </c>
      <c r="AY65" s="116">
        <v>433259.767</v>
      </c>
      <c r="AZ65" s="116">
        <v>375827.041</v>
      </c>
      <c r="BA65" s="116">
        <v>391511.836</v>
      </c>
      <c r="BB65" s="116">
        <v>247140.906</v>
      </c>
      <c r="BC65" s="116">
        <v>162156.298</v>
      </c>
      <c r="BD65" s="116">
        <v>153041.677</v>
      </c>
      <c r="BE65" s="116">
        <v>201855.406</v>
      </c>
      <c r="BF65" s="116">
        <v>104926.619</v>
      </c>
      <c r="BG65" s="116">
        <v>93612.753</v>
      </c>
      <c r="BH65" s="116">
        <v>35233.608</v>
      </c>
      <c r="BI65" s="116">
        <v>10854.395</v>
      </c>
      <c r="BK65" s="2">
        <f>SUM(B65:BJ65)</f>
        <v>407402815.8080002</v>
      </c>
      <c r="BL65" s="2"/>
      <c r="BM65" s="2">
        <f t="shared" si="0"/>
        <v>54074740.37899999</v>
      </c>
      <c r="BN65" s="2">
        <f>B65+D65+E65+F65+G65+H65+I65+J65+K65+L65+M65+N65+O65+P65+Q65+R65+S65+T65+U65+W65+X65+Y65+Z65+AA65+AB65+AC65+AE65+AF65+AG65+AI65+AJ65+AK65+AL65+AM65+AO65+AQ65+AT65+AV65+AX65+AY65+BA65+BC65+BH65+BI65+AR65+BF65</f>
        <v>353328075.42900014</v>
      </c>
      <c r="BO65" s="116"/>
      <c r="BP65" s="41"/>
    </row>
    <row r="66" spans="1:68" ht="4.5" customHeight="1">
      <c r="A66" s="26"/>
      <c r="BK66" s="2"/>
      <c r="BL66" s="2"/>
      <c r="BM66" s="2"/>
      <c r="BN66" s="2"/>
      <c r="BP66" s="41"/>
    </row>
    <row r="67" spans="1:68" ht="12.75">
      <c r="A67" s="26" t="s">
        <v>407</v>
      </c>
      <c r="BK67" s="2"/>
      <c r="BL67" s="2"/>
      <c r="BM67" s="2"/>
      <c r="BN67" s="2"/>
      <c r="BP67" s="41"/>
    </row>
    <row r="68" spans="1:68" ht="12.75">
      <c r="A68" s="26" t="s">
        <v>408</v>
      </c>
      <c r="B68" s="41">
        <f aca="true" t="shared" si="19" ref="B68:AG68">B65+B63</f>
        <v>75604040.74800001</v>
      </c>
      <c r="C68" s="41">
        <f t="shared" si="19"/>
        <v>61105843.680999994</v>
      </c>
      <c r="D68" s="41">
        <f t="shared" si="19"/>
        <v>45578662.67</v>
      </c>
      <c r="E68" s="41">
        <f t="shared" si="19"/>
        <v>39546394.131</v>
      </c>
      <c r="F68" s="41">
        <f t="shared" si="19"/>
        <v>38938962.862</v>
      </c>
      <c r="G68" s="41">
        <f t="shared" si="19"/>
        <v>18733051.8</v>
      </c>
      <c r="H68" s="41">
        <f t="shared" si="19"/>
        <v>17707301.233000003</v>
      </c>
      <c r="I68" s="41">
        <f t="shared" si="19"/>
        <v>17152927.465</v>
      </c>
      <c r="J68" s="41">
        <f t="shared" si="19"/>
        <v>14568854.772</v>
      </c>
      <c r="K68" s="41">
        <f t="shared" si="19"/>
        <v>14543967.708</v>
      </c>
      <c r="L68" s="41">
        <f t="shared" si="19"/>
        <v>13468985.357</v>
      </c>
      <c r="M68" s="41">
        <f t="shared" si="19"/>
        <v>12158485.009</v>
      </c>
      <c r="N68" s="41">
        <f t="shared" si="19"/>
        <v>11379958.215</v>
      </c>
      <c r="O68" s="41">
        <f t="shared" si="19"/>
        <v>11378547.701</v>
      </c>
      <c r="P68" s="41">
        <f t="shared" si="19"/>
        <v>10308089.395</v>
      </c>
      <c r="Q68" s="41">
        <f t="shared" si="19"/>
        <v>9696067.013</v>
      </c>
      <c r="R68" s="41">
        <f t="shared" si="19"/>
        <v>9454707.752</v>
      </c>
      <c r="S68" s="41">
        <f t="shared" si="19"/>
        <v>7464141.726</v>
      </c>
      <c r="T68" s="41">
        <f t="shared" si="19"/>
        <v>6900107.050999999</v>
      </c>
      <c r="U68" s="41">
        <f t="shared" si="19"/>
        <v>6617626.916</v>
      </c>
      <c r="V68" s="41">
        <f t="shared" si="19"/>
        <v>6319783.056</v>
      </c>
      <c r="W68" s="41">
        <f t="shared" si="19"/>
        <v>6153905.3100000005</v>
      </c>
      <c r="X68" s="41">
        <f t="shared" si="19"/>
        <v>5978913.729</v>
      </c>
      <c r="Y68" s="41">
        <f t="shared" si="19"/>
        <v>5440357</v>
      </c>
      <c r="Z68" s="41">
        <f t="shared" si="19"/>
        <v>5096100.049</v>
      </c>
      <c r="AA68" s="41">
        <f t="shared" si="19"/>
        <v>4935652.306</v>
      </c>
      <c r="AB68" s="41">
        <f t="shared" si="19"/>
        <v>3322550.5100000002</v>
      </c>
      <c r="AC68" s="41">
        <f t="shared" si="19"/>
        <v>3029798.1110000005</v>
      </c>
      <c r="AD68" s="41">
        <f t="shared" si="19"/>
        <v>3004878.7060000002</v>
      </c>
      <c r="AE68" s="41">
        <f t="shared" si="19"/>
        <v>2873725.847</v>
      </c>
      <c r="AF68" s="41">
        <f t="shared" si="19"/>
        <v>2843557.577</v>
      </c>
      <c r="AG68" s="41">
        <f t="shared" si="19"/>
        <v>2734930.638</v>
      </c>
      <c r="AH68" s="41">
        <f aca="true" t="shared" si="20" ref="AH68:BH68">AH65+AH63</f>
        <v>2533834.194</v>
      </c>
      <c r="AI68" s="41">
        <f t="shared" si="20"/>
        <v>1969065.521</v>
      </c>
      <c r="AJ68" s="41">
        <f t="shared" si="20"/>
        <v>1941745.286</v>
      </c>
      <c r="AK68" s="41">
        <f t="shared" si="20"/>
        <v>1645907.111</v>
      </c>
      <c r="AL68" s="41">
        <f>AL65+AL63</f>
        <v>1536425.976</v>
      </c>
      <c r="AM68" s="41">
        <f>AM65+AM63</f>
        <v>1508002.205</v>
      </c>
      <c r="AN68" s="41">
        <f t="shared" si="20"/>
        <v>1254878.1639999999</v>
      </c>
      <c r="AO68" s="41">
        <f t="shared" si="20"/>
        <v>1158585.3490000002</v>
      </c>
      <c r="AP68" s="41">
        <f t="shared" si="20"/>
        <v>1144350.632</v>
      </c>
      <c r="AQ68" s="41">
        <f t="shared" si="20"/>
        <v>1071768.286</v>
      </c>
      <c r="AR68" s="41">
        <f>AR65+AR63</f>
        <v>1033815.554</v>
      </c>
      <c r="AS68" s="41">
        <f t="shared" si="20"/>
        <v>986069.7000000001</v>
      </c>
      <c r="AT68" s="41">
        <f t="shared" si="20"/>
        <v>960044.386</v>
      </c>
      <c r="AU68" s="41">
        <f t="shared" si="20"/>
        <v>712937.021</v>
      </c>
      <c r="AV68" s="41">
        <f t="shared" si="20"/>
        <v>663861.958</v>
      </c>
      <c r="AW68" s="41">
        <f>AW65+AW63</f>
        <v>575842.6259999999</v>
      </c>
      <c r="AX68" s="41">
        <f t="shared" si="20"/>
        <v>573198.334</v>
      </c>
      <c r="AY68" s="41">
        <f t="shared" si="20"/>
        <v>460896.326</v>
      </c>
      <c r="AZ68" s="41">
        <f t="shared" si="20"/>
        <v>448140.628</v>
      </c>
      <c r="BA68" s="41">
        <f t="shared" si="20"/>
        <v>404826.634</v>
      </c>
      <c r="BB68" s="41">
        <f t="shared" si="20"/>
        <v>271325.77999999997</v>
      </c>
      <c r="BC68" s="41">
        <f t="shared" si="20"/>
        <v>165042.606</v>
      </c>
      <c r="BD68" s="41">
        <f t="shared" si="20"/>
        <v>163389.986</v>
      </c>
      <c r="BE68" s="41">
        <f t="shared" si="20"/>
        <v>134524.91599999997</v>
      </c>
      <c r="BF68" s="41">
        <f>BF65+BF63</f>
        <v>106532.07900000001</v>
      </c>
      <c r="BG68" s="41">
        <f t="shared" si="20"/>
        <v>88750.40299999999</v>
      </c>
      <c r="BH68" s="41">
        <f t="shared" si="20"/>
        <v>34159.593</v>
      </c>
      <c r="BI68" s="41">
        <f>BI65+BI63</f>
        <v>10213.533000000001</v>
      </c>
      <c r="BK68" s="2">
        <f>SUM(B68:BJ68)</f>
        <v>517599010.8309999</v>
      </c>
      <c r="BL68" s="2"/>
      <c r="BM68" s="2">
        <f t="shared" si="0"/>
        <v>78744549.493</v>
      </c>
      <c r="BN68" s="2">
        <f>B68+D68+E68+F68+G68+H68+I68+J68+K68+L68+M68+N68+O68+P68+Q68+R68+S68+T68+U68+W68+X68+Y68+Z68+AA68+AB68+AC68+AE68+AF68+AG68+AI68+AJ68+AK68+AL68+AM68+AO68+AQ68+AT68+AV68+AX68+AY68+BA68+BC68+BH68+BI68+AR68+BF68</f>
        <v>438854461.338</v>
      </c>
      <c r="BO68" s="41"/>
      <c r="BP68" s="41"/>
    </row>
    <row r="70" spans="63:64" ht="12.75">
      <c r="BK70" s="2"/>
      <c r="BL70" s="2"/>
    </row>
  </sheetData>
  <sheetProtection/>
  <printOptions/>
  <pageMargins left="0.7480314960629921" right="0.7480314960629921" top="1.062992125984252" bottom="0.7086614173228347" header="0.4330708661417323" footer="0.5118110236220472"/>
  <pageSetup horizontalDpi="600" verticalDpi="600" orientation="portrait" paperSize="9" r:id="rId1"/>
  <headerFooter alignWithMargins="0">
    <oddHeader>&amp;C&amp;"Times New Roman,Bold"&amp;14 3.2. YFIRLIT UM BREYTINGAR Á HREINNI EIGN TIL GREIÐSLU LÍFEYRIS FYRIR ÁRIÐ 1999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K68"/>
  <sheetViews>
    <sheetView zoomScalePageLayoutView="0" workbookViewId="0" topLeftCell="A1">
      <pane xSplit="3630" ySplit="1365" topLeftCell="A1" activePane="bottomRight" state="split"/>
      <selection pane="topLeft" activeCell="B68" sqref="B68:AQ68"/>
      <selection pane="topRight" activeCell="BK1" sqref="BK1:BL16384"/>
      <selection pane="bottomLeft" activeCell="A5" sqref="A5"/>
      <selection pane="bottomRight" activeCell="A2" sqref="A2"/>
    </sheetView>
  </sheetViews>
  <sheetFormatPr defaultColWidth="9.00390625" defaultRowHeight="12.75"/>
  <cols>
    <col min="1" max="1" width="26.25390625" style="0" customWidth="1"/>
    <col min="6" max="6" width="2.875" style="0" customWidth="1"/>
    <col min="9" max="9" width="2.875" style="0" customWidth="1"/>
    <col min="12" max="12" width="2.875" style="0" customWidth="1"/>
    <col min="14" max="15" width="2.875" style="0" customWidth="1"/>
    <col min="22" max="22" width="2.875" style="0" customWidth="1"/>
    <col min="24" max="24" width="2.875" style="0" customWidth="1"/>
    <col min="27" max="27" width="2.875" style="0" customWidth="1"/>
    <col min="30" max="30" width="2.875" style="0" customWidth="1"/>
    <col min="33" max="42" width="2.875" style="0" customWidth="1"/>
    <col min="45" max="48" width="2.875" style="0" customWidth="1"/>
    <col min="50" max="57" width="2.875" style="0" customWidth="1"/>
    <col min="59" max="59" width="2.875" style="0" customWidth="1"/>
    <col min="61" max="61" width="2.875" style="0" customWidth="1"/>
    <col min="63" max="63" width="9.50390625" style="0" customWidth="1"/>
  </cols>
  <sheetData>
    <row r="1" spans="1:63" ht="12.75">
      <c r="A1" s="25" t="s">
        <v>11</v>
      </c>
      <c r="B1" s="52" t="s">
        <v>0</v>
      </c>
      <c r="C1" s="52" t="s">
        <v>0</v>
      </c>
      <c r="D1" s="53" t="s">
        <v>0</v>
      </c>
      <c r="E1" s="53" t="s">
        <v>1</v>
      </c>
      <c r="G1" s="53" t="s">
        <v>0</v>
      </c>
      <c r="H1" s="53" t="s">
        <v>2</v>
      </c>
      <c r="J1" s="53" t="s">
        <v>3</v>
      </c>
      <c r="K1" s="53" t="s">
        <v>0</v>
      </c>
      <c r="M1" s="53" t="s">
        <v>0</v>
      </c>
      <c r="P1" s="53" t="s">
        <v>0</v>
      </c>
      <c r="Q1" s="53" t="s">
        <v>0</v>
      </c>
      <c r="R1" s="53" t="s">
        <v>0</v>
      </c>
      <c r="S1" s="53" t="s">
        <v>5</v>
      </c>
      <c r="T1" s="53" t="s">
        <v>0</v>
      </c>
      <c r="U1" s="53" t="s">
        <v>7</v>
      </c>
      <c r="W1" s="53" t="s">
        <v>418</v>
      </c>
      <c r="Y1" s="53" t="s">
        <v>6</v>
      </c>
      <c r="Z1" s="52" t="s">
        <v>0</v>
      </c>
      <c r="AB1" s="53" t="s">
        <v>8</v>
      </c>
      <c r="AC1" s="53" t="s">
        <v>0</v>
      </c>
      <c r="AE1" s="53" t="s">
        <v>6</v>
      </c>
      <c r="AF1" s="53" t="s">
        <v>0</v>
      </c>
      <c r="AQ1" s="53" t="s">
        <v>0</v>
      </c>
      <c r="AR1" s="53" t="s">
        <v>54</v>
      </c>
      <c r="AW1" s="53" t="s">
        <v>438</v>
      </c>
      <c r="BF1" s="53" t="s">
        <v>9</v>
      </c>
      <c r="BH1" s="53" t="s">
        <v>0</v>
      </c>
      <c r="BK1" s="27" t="s">
        <v>10</v>
      </c>
    </row>
    <row r="2" spans="1:63" ht="12.75">
      <c r="A2" s="21"/>
      <c r="B2" s="52" t="s">
        <v>12</v>
      </c>
      <c r="C2" s="52" t="s">
        <v>14</v>
      </c>
      <c r="D2" s="53" t="s">
        <v>16</v>
      </c>
      <c r="E2" s="53" t="s">
        <v>15</v>
      </c>
      <c r="G2" s="53" t="s">
        <v>17</v>
      </c>
      <c r="H2" s="53" t="s">
        <v>15</v>
      </c>
      <c r="J2" s="53" t="s">
        <v>15</v>
      </c>
      <c r="K2" s="53" t="s">
        <v>352</v>
      </c>
      <c r="M2" s="53" t="s">
        <v>20</v>
      </c>
      <c r="P2" s="53" t="s">
        <v>443</v>
      </c>
      <c r="Q2" s="53" t="s">
        <v>21</v>
      </c>
      <c r="R2" s="53" t="s">
        <v>23</v>
      </c>
      <c r="S2" s="53" t="s">
        <v>15</v>
      </c>
      <c r="T2" s="53" t="s">
        <v>24</v>
      </c>
      <c r="U2" s="53" t="s">
        <v>30</v>
      </c>
      <c r="W2" s="53" t="s">
        <v>49</v>
      </c>
      <c r="Y2" s="53" t="s">
        <v>29</v>
      </c>
      <c r="Z2" s="52" t="s">
        <v>433</v>
      </c>
      <c r="AB2" s="53" t="s">
        <v>15</v>
      </c>
      <c r="AC2" s="53" t="s">
        <v>26</v>
      </c>
      <c r="AE2" s="53" t="s">
        <v>29</v>
      </c>
      <c r="AF2" s="53" t="s">
        <v>27</v>
      </c>
      <c r="AQ2" s="53" t="s">
        <v>40</v>
      </c>
      <c r="AR2" s="53" t="s">
        <v>15</v>
      </c>
      <c r="AW2" s="53" t="s">
        <v>14</v>
      </c>
      <c r="BF2" s="53" t="s">
        <v>49</v>
      </c>
      <c r="BH2" s="53" t="s">
        <v>51</v>
      </c>
      <c r="BK2" s="27" t="s">
        <v>53</v>
      </c>
    </row>
    <row r="3" spans="1:63" ht="12.75">
      <c r="A3" s="24"/>
      <c r="B3" s="52" t="s">
        <v>55</v>
      </c>
      <c r="C3" s="52" t="s">
        <v>477</v>
      </c>
      <c r="D3" s="53"/>
      <c r="E3" s="53" t="s">
        <v>29</v>
      </c>
      <c r="G3" s="53" t="s">
        <v>57</v>
      </c>
      <c r="H3" s="53" t="s">
        <v>56</v>
      </c>
      <c r="J3" s="53" t="s">
        <v>29</v>
      </c>
      <c r="K3" s="53"/>
      <c r="M3" s="53" t="s">
        <v>58</v>
      </c>
      <c r="P3" s="53" t="s">
        <v>442</v>
      </c>
      <c r="Q3" s="53" t="s">
        <v>59</v>
      </c>
      <c r="R3" s="53" t="s">
        <v>415</v>
      </c>
      <c r="S3" s="53" t="s">
        <v>29</v>
      </c>
      <c r="T3" s="53" t="s">
        <v>57</v>
      </c>
      <c r="U3" s="53" t="s">
        <v>66</v>
      </c>
      <c r="W3" s="53" t="s">
        <v>419</v>
      </c>
      <c r="Y3" s="53" t="s">
        <v>82</v>
      </c>
      <c r="Z3" s="52" t="s">
        <v>434</v>
      </c>
      <c r="AB3" s="53" t="s">
        <v>78</v>
      </c>
      <c r="AC3" s="53" t="s">
        <v>61</v>
      </c>
      <c r="AE3" s="53" t="s">
        <v>65</v>
      </c>
      <c r="AF3" s="53"/>
      <c r="AQ3" s="53" t="s">
        <v>60</v>
      </c>
      <c r="AR3" s="53" t="s">
        <v>29</v>
      </c>
      <c r="AW3" s="53" t="s">
        <v>435</v>
      </c>
      <c r="BF3" s="53" t="s">
        <v>87</v>
      </c>
      <c r="BH3" s="53" t="s">
        <v>89</v>
      </c>
      <c r="BK3" s="27" t="s">
        <v>91</v>
      </c>
    </row>
    <row r="4" spans="1:63" ht="12.75">
      <c r="A4" s="42"/>
      <c r="B4" s="54" t="s">
        <v>92</v>
      </c>
      <c r="C4" s="54" t="s">
        <v>93</v>
      </c>
      <c r="D4" s="54" t="s">
        <v>94</v>
      </c>
      <c r="E4" s="54" t="s">
        <v>95</v>
      </c>
      <c r="F4" s="54" t="s">
        <v>96</v>
      </c>
      <c r="G4" s="54" t="s">
        <v>97</v>
      </c>
      <c r="H4" s="54" t="s">
        <v>98</v>
      </c>
      <c r="I4" s="54" t="s">
        <v>99</v>
      </c>
      <c r="J4" s="54" t="s">
        <v>283</v>
      </c>
      <c r="K4" s="54" t="s">
        <v>284</v>
      </c>
      <c r="L4" s="54" t="s">
        <v>285</v>
      </c>
      <c r="M4" s="54" t="s">
        <v>100</v>
      </c>
      <c r="N4" s="54" t="s">
        <v>101</v>
      </c>
      <c r="O4" s="54" t="s">
        <v>102</v>
      </c>
      <c r="P4" s="54" t="s">
        <v>103</v>
      </c>
      <c r="Q4" s="54" t="s">
        <v>104</v>
      </c>
      <c r="R4" s="54" t="s">
        <v>105</v>
      </c>
      <c r="S4" s="54" t="s">
        <v>106</v>
      </c>
      <c r="T4" s="54" t="s">
        <v>107</v>
      </c>
      <c r="U4" s="54" t="s">
        <v>108</v>
      </c>
      <c r="V4" s="54" t="s">
        <v>109</v>
      </c>
      <c r="W4" s="54" t="s">
        <v>110</v>
      </c>
      <c r="X4" s="54" t="s">
        <v>111</v>
      </c>
      <c r="Y4" s="54" t="s">
        <v>112</v>
      </c>
      <c r="Z4" s="54" t="s">
        <v>113</v>
      </c>
      <c r="AA4" s="54" t="s">
        <v>498</v>
      </c>
      <c r="AB4" s="54" t="s">
        <v>114</v>
      </c>
      <c r="AC4" s="54" t="s">
        <v>115</v>
      </c>
      <c r="AD4" s="54" t="s">
        <v>116</v>
      </c>
      <c r="AE4" s="54" t="s">
        <v>117</v>
      </c>
      <c r="AF4" s="54" t="s">
        <v>118</v>
      </c>
      <c r="AG4" s="54" t="s">
        <v>119</v>
      </c>
      <c r="AH4" s="54" t="s">
        <v>120</v>
      </c>
      <c r="AI4" s="54" t="s">
        <v>121</v>
      </c>
      <c r="AJ4" s="54" t="s">
        <v>122</v>
      </c>
      <c r="AK4" s="54" t="s">
        <v>123</v>
      </c>
      <c r="AL4" s="54" t="s">
        <v>124</v>
      </c>
      <c r="AM4" s="54" t="s">
        <v>125</v>
      </c>
      <c r="AN4" s="54" t="s">
        <v>126</v>
      </c>
      <c r="AO4" s="54" t="s">
        <v>127</v>
      </c>
      <c r="AP4" s="54" t="s">
        <v>128</v>
      </c>
      <c r="AQ4" s="54" t="s">
        <v>129</v>
      </c>
      <c r="AR4" s="54" t="s">
        <v>130</v>
      </c>
      <c r="AS4" s="54" t="s">
        <v>131</v>
      </c>
      <c r="AT4" s="54" t="s">
        <v>132</v>
      </c>
      <c r="AU4" s="54" t="s">
        <v>133</v>
      </c>
      <c r="AV4" s="54" t="s">
        <v>134</v>
      </c>
      <c r="AW4" s="54" t="s">
        <v>135</v>
      </c>
      <c r="AX4" s="54" t="s">
        <v>136</v>
      </c>
      <c r="AY4" s="54" t="s">
        <v>137</v>
      </c>
      <c r="AZ4" s="54" t="s">
        <v>138</v>
      </c>
      <c r="BA4" s="54" t="s">
        <v>139</v>
      </c>
      <c r="BB4" s="54" t="s">
        <v>289</v>
      </c>
      <c r="BC4" s="54" t="s">
        <v>140</v>
      </c>
      <c r="BD4" s="54" t="s">
        <v>141</v>
      </c>
      <c r="BE4" s="54" t="s">
        <v>142</v>
      </c>
      <c r="BF4" s="54" t="s">
        <v>143</v>
      </c>
      <c r="BG4" s="54" t="s">
        <v>144</v>
      </c>
      <c r="BH4" s="54" t="s">
        <v>550</v>
      </c>
      <c r="BI4" s="54" t="s">
        <v>551</v>
      </c>
      <c r="BK4" s="85"/>
    </row>
    <row r="5" spans="1:63" ht="12.75">
      <c r="A5" s="26" t="s">
        <v>313</v>
      </c>
      <c r="B5" s="3"/>
      <c r="C5" s="17"/>
      <c r="D5" s="3"/>
      <c r="E5" s="3"/>
      <c r="G5" s="3"/>
      <c r="H5" s="3"/>
      <c r="J5" s="3"/>
      <c r="K5" s="3"/>
      <c r="M5" s="3"/>
      <c r="P5" s="3"/>
      <c r="Q5" s="3"/>
      <c r="R5" s="3"/>
      <c r="S5" s="3"/>
      <c r="T5" s="3"/>
      <c r="U5" s="3"/>
      <c r="W5" s="3"/>
      <c r="Y5" s="3"/>
      <c r="Z5" s="3"/>
      <c r="AB5" s="3"/>
      <c r="AC5" s="3"/>
      <c r="AE5" s="3"/>
      <c r="AF5" s="3"/>
      <c r="AQ5" s="3"/>
      <c r="AW5" s="3"/>
      <c r="BF5" s="3"/>
      <c r="BH5" s="3"/>
      <c r="BK5" s="15"/>
    </row>
    <row r="6" spans="1:63" ht="12.75">
      <c r="A6" s="25" t="s">
        <v>301</v>
      </c>
      <c r="B6" s="2">
        <v>50364.05</v>
      </c>
      <c r="C6" s="2">
        <v>147829.408</v>
      </c>
      <c r="D6" s="2"/>
      <c r="E6" s="2"/>
      <c r="G6" s="2"/>
      <c r="H6" s="2"/>
      <c r="J6" s="2"/>
      <c r="K6" s="2">
        <v>19357.221</v>
      </c>
      <c r="M6" s="2"/>
      <c r="P6" s="2"/>
      <c r="Q6" s="2"/>
      <c r="R6" s="2"/>
      <c r="S6" s="2"/>
      <c r="T6" s="2">
        <v>441.43</v>
      </c>
      <c r="U6" s="2"/>
      <c r="W6" s="2"/>
      <c r="Y6" s="2"/>
      <c r="Z6" s="2"/>
      <c r="AB6" s="2">
        <f>210953.588-4053.342</f>
        <v>206900.24599999998</v>
      </c>
      <c r="AC6" s="2"/>
      <c r="AE6" s="2"/>
      <c r="AF6" s="2"/>
      <c r="AQ6" s="2"/>
      <c r="AR6" s="2">
        <v>259772.335</v>
      </c>
      <c r="AW6" s="2"/>
      <c r="BF6" s="2"/>
      <c r="BH6" s="2"/>
      <c r="BK6" s="2">
        <f>SUM(B6:BJ6)</f>
        <v>684664.69</v>
      </c>
    </row>
    <row r="7" spans="1:63" ht="12.75">
      <c r="A7" s="25" t="s">
        <v>302</v>
      </c>
      <c r="B7" s="2">
        <v>86397.824</v>
      </c>
      <c r="C7" s="2">
        <v>42930.491</v>
      </c>
      <c r="D7" s="2"/>
      <c r="E7" s="2"/>
      <c r="G7" s="2"/>
      <c r="H7" s="2"/>
      <c r="J7" s="2"/>
      <c r="K7" s="2">
        <v>3320.034</v>
      </c>
      <c r="M7" s="2"/>
      <c r="P7" s="2"/>
      <c r="Q7" s="2"/>
      <c r="R7" s="2"/>
      <c r="S7" s="2"/>
      <c r="T7" s="2">
        <v>373.15</v>
      </c>
      <c r="U7" s="2"/>
      <c r="W7" s="2"/>
      <c r="Y7" s="2"/>
      <c r="Z7" s="2"/>
      <c r="AB7" s="2">
        <f>445692.22-5839.221</f>
        <v>439852.99899999995</v>
      </c>
      <c r="AC7" s="2"/>
      <c r="AE7" s="2"/>
      <c r="AF7" s="2"/>
      <c r="AQ7" s="2"/>
      <c r="AR7" s="2">
        <v>104697.659</v>
      </c>
      <c r="AW7" s="2"/>
      <c r="BF7" s="2"/>
      <c r="BH7" s="2"/>
      <c r="BK7" s="2">
        <f>SUM(B7:BJ7)</f>
        <v>677572.1569999999</v>
      </c>
    </row>
    <row r="8" spans="1:63" ht="12.75">
      <c r="A8" s="25" t="s">
        <v>303</v>
      </c>
      <c r="B8" s="2"/>
      <c r="C8" s="2">
        <v>0</v>
      </c>
      <c r="D8" s="2"/>
      <c r="E8" s="2"/>
      <c r="G8" s="2"/>
      <c r="H8" s="2"/>
      <c r="J8" s="2"/>
      <c r="K8" s="2"/>
      <c r="M8" s="2"/>
      <c r="P8" s="2"/>
      <c r="Q8" s="2"/>
      <c r="R8" s="2"/>
      <c r="S8" s="2"/>
      <c r="T8" s="2">
        <v>-4.183</v>
      </c>
      <c r="U8" s="2"/>
      <c r="W8" s="2"/>
      <c r="Y8" s="2"/>
      <c r="Z8" s="2"/>
      <c r="AB8" s="2">
        <v>-27718.063</v>
      </c>
      <c r="AC8" s="2"/>
      <c r="AE8" s="2"/>
      <c r="AF8" s="2"/>
      <c r="AQ8" s="2"/>
      <c r="AR8" s="2">
        <v>49075.097</v>
      </c>
      <c r="AW8" s="2"/>
      <c r="BF8" s="2"/>
      <c r="BH8" s="2"/>
      <c r="BK8" s="2">
        <f>SUM(B8:BJ8)</f>
        <v>21352.851000000002</v>
      </c>
    </row>
    <row r="9" spans="1:63" ht="12.75">
      <c r="A9" s="25" t="s">
        <v>304</v>
      </c>
      <c r="B9" s="2"/>
      <c r="C9" s="2">
        <v>0</v>
      </c>
      <c r="D9" s="2"/>
      <c r="E9" s="2"/>
      <c r="G9" s="2"/>
      <c r="H9" s="2"/>
      <c r="J9" s="2"/>
      <c r="K9" s="2"/>
      <c r="M9" s="2"/>
      <c r="P9" s="2"/>
      <c r="Q9" s="2"/>
      <c r="R9" s="2"/>
      <c r="S9" s="2"/>
      <c r="T9" s="2">
        <v>0</v>
      </c>
      <c r="U9" s="2"/>
      <c r="W9" s="2"/>
      <c r="Y9" s="2"/>
      <c r="Z9" s="2"/>
      <c r="AB9" s="2">
        <v>0</v>
      </c>
      <c r="AC9" s="2"/>
      <c r="AE9" s="2"/>
      <c r="AF9" s="2"/>
      <c r="AQ9" s="2"/>
      <c r="AR9" s="2">
        <v>0</v>
      </c>
      <c r="AW9" s="2"/>
      <c r="BF9" s="2"/>
      <c r="BH9" s="2"/>
      <c r="BK9" s="2">
        <f>SUM(B9:BJ9)</f>
        <v>0</v>
      </c>
    </row>
    <row r="10" spans="1:63" ht="5.25" customHeight="1">
      <c r="A10" s="24" t="s">
        <v>147</v>
      </c>
      <c r="BK10" s="2"/>
    </row>
    <row r="11" spans="1:63" ht="12.75">
      <c r="A11" s="45" t="s">
        <v>305</v>
      </c>
      <c r="B11" s="41">
        <f>SUM(B6:B9)</f>
        <v>136761.874</v>
      </c>
      <c r="C11" s="41">
        <f>SUM(C6:C9)</f>
        <v>190759.899</v>
      </c>
      <c r="D11" s="41">
        <v>18729.688</v>
      </c>
      <c r="E11" s="41">
        <v>30714</v>
      </c>
      <c r="G11" s="41">
        <v>7007.854</v>
      </c>
      <c r="H11" s="41">
        <v>9836.336</v>
      </c>
      <c r="J11" s="41">
        <v>262143.039</v>
      </c>
      <c r="K11" s="41">
        <f>SUM(K6:K9)</f>
        <v>22677.255</v>
      </c>
      <c r="M11" s="41">
        <v>2000</v>
      </c>
      <c r="P11" s="41">
        <v>29389.959</v>
      </c>
      <c r="Q11" s="41">
        <v>1923.662</v>
      </c>
      <c r="R11" s="41">
        <v>1340.689</v>
      </c>
      <c r="S11" s="41">
        <f>1143939-119921</f>
        <v>1024018</v>
      </c>
      <c r="T11" s="41">
        <f>SUM(T6:T9)</f>
        <v>810.3969999999999</v>
      </c>
      <c r="U11" s="41">
        <f>1538121-210960</f>
        <v>1327161</v>
      </c>
      <c r="W11" s="41">
        <f>SUM(W6:W9)</f>
        <v>0</v>
      </c>
      <c r="Y11" s="41">
        <f>1421430-47985</f>
        <v>1373445</v>
      </c>
      <c r="Z11" s="41">
        <v>258123.374</v>
      </c>
      <c r="AB11" s="41">
        <f>SUM(AB6:AB9)</f>
        <v>619035.1819999999</v>
      </c>
      <c r="AC11" s="41">
        <v>337</v>
      </c>
      <c r="AE11" s="41">
        <v>12702.683</v>
      </c>
      <c r="AF11" s="41">
        <v>20014.309</v>
      </c>
      <c r="AQ11" s="41">
        <f>53375-2034</f>
        <v>51341</v>
      </c>
      <c r="AR11" s="41">
        <f>SUM(AR6:AR9)</f>
        <v>413545.091</v>
      </c>
      <c r="AW11" s="41">
        <v>6175.635</v>
      </c>
      <c r="BF11" s="41">
        <f>6854.916-15164.766-1100.617</f>
        <v>-9410.466999999999</v>
      </c>
      <c r="BH11" s="41">
        <f>SUM(BH6:BH9)</f>
        <v>0</v>
      </c>
      <c r="BK11" s="2">
        <f>SUM(B11:BJ11)</f>
        <v>5810582.459000001</v>
      </c>
    </row>
    <row r="12" spans="1:63" ht="5.25" customHeight="1">
      <c r="A12" s="26"/>
      <c r="BK12" s="2"/>
    </row>
    <row r="13" spans="1:63" ht="12.75">
      <c r="A13" s="26" t="s">
        <v>314</v>
      </c>
      <c r="BK13" s="2"/>
    </row>
    <row r="14" spans="1:63" ht="12.75">
      <c r="A14" s="25" t="s">
        <v>300</v>
      </c>
      <c r="B14" s="2">
        <v>1000</v>
      </c>
      <c r="C14" s="2">
        <v>47.288</v>
      </c>
      <c r="D14" s="2"/>
      <c r="E14" s="2"/>
      <c r="G14" s="2"/>
      <c r="H14" s="2"/>
      <c r="J14" s="2"/>
      <c r="K14" s="2"/>
      <c r="M14" s="2"/>
      <c r="P14" s="2"/>
      <c r="Q14" s="2"/>
      <c r="R14" s="2"/>
      <c r="S14" s="2"/>
      <c r="T14" s="2">
        <v>0</v>
      </c>
      <c r="U14" s="2"/>
      <c r="W14" s="2"/>
      <c r="Y14" s="2"/>
      <c r="Z14" s="2"/>
      <c r="AB14" s="2">
        <v>40304.371</v>
      </c>
      <c r="AC14" s="2"/>
      <c r="AE14" s="2"/>
      <c r="AF14" s="2"/>
      <c r="AQ14" s="2"/>
      <c r="AR14" s="2">
        <v>2880.729</v>
      </c>
      <c r="AW14" s="2"/>
      <c r="BF14" s="2"/>
      <c r="BH14" s="2"/>
      <c r="BK14" s="2">
        <f>SUM(B14:BJ14)</f>
        <v>44232.388</v>
      </c>
    </row>
    <row r="15" spans="1:63" ht="12.75">
      <c r="A15" s="25" t="s">
        <v>299</v>
      </c>
      <c r="B15" s="2"/>
      <c r="C15" s="2">
        <v>0</v>
      </c>
      <c r="D15" s="2"/>
      <c r="E15" s="2"/>
      <c r="G15" s="2"/>
      <c r="H15" s="2"/>
      <c r="J15" s="2"/>
      <c r="K15" s="2"/>
      <c r="M15" s="2"/>
      <c r="P15" s="2"/>
      <c r="Q15" s="2"/>
      <c r="R15" s="2"/>
      <c r="S15" s="2"/>
      <c r="T15" s="2">
        <v>0</v>
      </c>
      <c r="U15" s="2"/>
      <c r="W15" s="2"/>
      <c r="Y15" s="2"/>
      <c r="Z15" s="2"/>
      <c r="AB15" s="2">
        <v>0</v>
      </c>
      <c r="AC15" s="2"/>
      <c r="AE15" s="2"/>
      <c r="AF15" s="2"/>
      <c r="AQ15" s="2"/>
      <c r="AR15" s="2">
        <v>0</v>
      </c>
      <c r="AW15" s="2"/>
      <c r="BF15" s="2"/>
      <c r="BH15" s="2"/>
      <c r="BK15" s="2">
        <f>SUM(B15:BJ15)</f>
        <v>0</v>
      </c>
    </row>
    <row r="16" spans="1:63" ht="12.75">
      <c r="A16" s="25" t="s">
        <v>298</v>
      </c>
      <c r="B16" s="2"/>
      <c r="C16" s="2">
        <v>0</v>
      </c>
      <c r="D16" s="2"/>
      <c r="E16" s="2"/>
      <c r="G16" s="2"/>
      <c r="H16" s="2"/>
      <c r="J16" s="2"/>
      <c r="K16" s="2"/>
      <c r="M16" s="2"/>
      <c r="P16" s="2"/>
      <c r="Q16" s="2"/>
      <c r="R16" s="2"/>
      <c r="S16" s="2"/>
      <c r="T16" s="2">
        <v>0</v>
      </c>
      <c r="U16" s="2"/>
      <c r="W16" s="2"/>
      <c r="Y16" s="2"/>
      <c r="Z16" s="2"/>
      <c r="AB16" s="2">
        <v>0</v>
      </c>
      <c r="AC16" s="2"/>
      <c r="AE16" s="2"/>
      <c r="AF16" s="2"/>
      <c r="AQ16" s="2"/>
      <c r="AR16" s="2">
        <v>0</v>
      </c>
      <c r="AW16" s="2"/>
      <c r="BF16" s="2"/>
      <c r="BH16" s="2"/>
      <c r="BK16" s="2">
        <f>SUM(B16:BJ16)</f>
        <v>0</v>
      </c>
    </row>
    <row r="17" spans="1:63" ht="12.75">
      <c r="A17" s="25" t="s">
        <v>451</v>
      </c>
      <c r="B17" s="2"/>
      <c r="C17" s="2">
        <v>0</v>
      </c>
      <c r="D17" s="2"/>
      <c r="E17" s="2"/>
      <c r="G17" s="2"/>
      <c r="H17" s="2"/>
      <c r="J17" s="2"/>
      <c r="K17" s="2"/>
      <c r="M17" s="2"/>
      <c r="P17" s="2"/>
      <c r="Q17" s="2"/>
      <c r="R17" s="2"/>
      <c r="S17" s="2"/>
      <c r="T17" s="2">
        <v>0</v>
      </c>
      <c r="U17" s="2"/>
      <c r="W17" s="2"/>
      <c r="Y17" s="2"/>
      <c r="Z17" s="2"/>
      <c r="AB17" s="2">
        <v>0</v>
      </c>
      <c r="AC17" s="2"/>
      <c r="AE17" s="2"/>
      <c r="AF17" s="2"/>
      <c r="AQ17" s="2"/>
      <c r="AR17" s="2">
        <v>0</v>
      </c>
      <c r="AW17" s="2"/>
      <c r="BF17" s="2"/>
      <c r="BH17" s="2"/>
      <c r="BK17" s="2">
        <f>SUM(B17:BJ17)</f>
        <v>0</v>
      </c>
    </row>
    <row r="18" spans="1:63" ht="6" customHeight="1">
      <c r="A18" s="24"/>
      <c r="BK18" s="2"/>
    </row>
    <row r="19" spans="1:63" ht="12.75">
      <c r="A19" s="45" t="s">
        <v>306</v>
      </c>
      <c r="B19" s="41">
        <f>SUM(B14:B17)</f>
        <v>1000</v>
      </c>
      <c r="C19" s="41">
        <f>SUM(C14:C17)</f>
        <v>47.288</v>
      </c>
      <c r="D19" s="41">
        <v>0</v>
      </c>
      <c r="E19" s="41">
        <v>0</v>
      </c>
      <c r="G19" s="41">
        <f>SUM(G14:G17)</f>
        <v>0</v>
      </c>
      <c r="H19" s="41">
        <v>0</v>
      </c>
      <c r="J19" s="41">
        <v>2507.796</v>
      </c>
      <c r="K19" s="41">
        <f>SUM(K14:K17)</f>
        <v>0</v>
      </c>
      <c r="M19" s="41">
        <v>0</v>
      </c>
      <c r="P19" s="41">
        <f>SUM(P14:P17)</f>
        <v>0</v>
      </c>
      <c r="Q19" s="41">
        <f>SUM(Q14:Q17)</f>
        <v>0</v>
      </c>
      <c r="R19" s="41">
        <f>SUM(R14:R17)</f>
        <v>0</v>
      </c>
      <c r="S19" s="41">
        <v>62060</v>
      </c>
      <c r="T19" s="41">
        <f>SUM(T14:T17)</f>
        <v>0</v>
      </c>
      <c r="U19" s="41">
        <v>45874</v>
      </c>
      <c r="W19" s="41">
        <f>SUM(W14:W17)</f>
        <v>0</v>
      </c>
      <c r="Y19" s="41">
        <v>40062</v>
      </c>
      <c r="Z19" s="41">
        <v>15019.911</v>
      </c>
      <c r="AB19" s="41">
        <f>SUM(AB14:AB17)</f>
        <v>40304.371</v>
      </c>
      <c r="AC19" s="41">
        <v>0</v>
      </c>
      <c r="AE19" s="41">
        <f>SUM(AE14:AE17)</f>
        <v>0</v>
      </c>
      <c r="AF19" s="41">
        <f>SUM(AF14:AF17)</f>
        <v>0</v>
      </c>
      <c r="AQ19" s="41">
        <v>9316</v>
      </c>
      <c r="AR19" s="41">
        <f>SUM(AR14:AR17)</f>
        <v>2880.729</v>
      </c>
      <c r="AW19" s="41">
        <v>0</v>
      </c>
      <c r="BF19" s="41">
        <v>0</v>
      </c>
      <c r="BH19" s="41">
        <f>SUM(BH14:BH17)</f>
        <v>0</v>
      </c>
      <c r="BK19" s="2">
        <f>SUM(B19:BJ19)</f>
        <v>219072.09499999997</v>
      </c>
    </row>
    <row r="20" spans="1:63" ht="6" customHeight="1">
      <c r="A20" s="26"/>
      <c r="BK20" s="2"/>
    </row>
    <row r="21" spans="1:63" ht="12.75">
      <c r="A21" s="26" t="s">
        <v>315</v>
      </c>
      <c r="BK21" s="2"/>
    </row>
    <row r="22" spans="1:63" ht="12.75">
      <c r="A22" s="25" t="s">
        <v>452</v>
      </c>
      <c r="B22" s="2"/>
      <c r="C22" s="2">
        <v>0</v>
      </c>
      <c r="D22" s="2"/>
      <c r="E22" s="2"/>
      <c r="G22" s="2"/>
      <c r="H22" s="2"/>
      <c r="J22" s="2"/>
      <c r="K22" s="2"/>
      <c r="M22" s="2"/>
      <c r="P22" s="2"/>
      <c r="Q22" s="2"/>
      <c r="R22" s="2"/>
      <c r="S22" s="2"/>
      <c r="T22" s="2"/>
      <c r="U22" s="2"/>
      <c r="W22" s="2"/>
      <c r="Y22" s="2"/>
      <c r="Z22" s="2"/>
      <c r="AB22" s="2">
        <v>0</v>
      </c>
      <c r="AC22" s="2"/>
      <c r="AE22" s="2"/>
      <c r="AF22" s="2"/>
      <c r="AQ22" s="2"/>
      <c r="AR22" s="2">
        <v>0</v>
      </c>
      <c r="AW22" s="2"/>
      <c r="BF22" s="2"/>
      <c r="BH22" s="2"/>
      <c r="BK22" s="2">
        <f aca="true" t="shared" si="0" ref="BK22:BK33">SUM(B22:BJ22)</f>
        <v>0</v>
      </c>
    </row>
    <row r="23" spans="1:63" ht="12.75">
      <c r="A23" s="25" t="s">
        <v>453</v>
      </c>
      <c r="B23" s="2"/>
      <c r="C23" s="2">
        <v>0</v>
      </c>
      <c r="D23" s="2"/>
      <c r="E23" s="2"/>
      <c r="G23" s="2"/>
      <c r="H23" s="2"/>
      <c r="J23" s="2"/>
      <c r="K23" s="2"/>
      <c r="M23" s="2"/>
      <c r="P23" s="2"/>
      <c r="Q23" s="2"/>
      <c r="R23" s="2"/>
      <c r="S23" s="2"/>
      <c r="T23" s="2"/>
      <c r="U23" s="2"/>
      <c r="W23" s="2"/>
      <c r="Y23" s="2"/>
      <c r="Z23" s="2"/>
      <c r="AB23" s="2">
        <v>0</v>
      </c>
      <c r="AC23" s="2"/>
      <c r="AE23" s="2"/>
      <c r="AF23" s="2"/>
      <c r="AQ23" s="2"/>
      <c r="AR23" s="2">
        <v>0</v>
      </c>
      <c r="AW23" s="2"/>
      <c r="BF23" s="2"/>
      <c r="BH23" s="2"/>
      <c r="BK23" s="2">
        <f t="shared" si="0"/>
        <v>0</v>
      </c>
    </row>
    <row r="24" spans="1:63" ht="12.75">
      <c r="A24" s="25" t="s">
        <v>310</v>
      </c>
      <c r="B24" s="2"/>
      <c r="C24" s="2">
        <v>0</v>
      </c>
      <c r="D24" s="2"/>
      <c r="E24" s="2"/>
      <c r="G24" s="2"/>
      <c r="H24" s="2"/>
      <c r="J24" s="2"/>
      <c r="K24" s="2"/>
      <c r="M24" s="2"/>
      <c r="P24" s="2">
        <v>2089.193</v>
      </c>
      <c r="Q24" s="2"/>
      <c r="R24" s="2"/>
      <c r="S24" s="2"/>
      <c r="T24" s="2">
        <v>45.562</v>
      </c>
      <c r="U24" s="2"/>
      <c r="W24" s="2"/>
      <c r="Y24" s="2"/>
      <c r="Z24" s="2"/>
      <c r="AB24" s="2">
        <v>3223.783</v>
      </c>
      <c r="AC24" s="2"/>
      <c r="AE24" s="2"/>
      <c r="AF24" s="2"/>
      <c r="AQ24" s="2"/>
      <c r="AR24" s="2">
        <v>188.763</v>
      </c>
      <c r="AW24" s="2"/>
      <c r="BF24" s="2"/>
      <c r="BH24" s="2"/>
      <c r="BK24" s="2">
        <f t="shared" si="0"/>
        <v>5547.301</v>
      </c>
    </row>
    <row r="25" spans="1:63" ht="12.75">
      <c r="A25" s="25" t="s">
        <v>311</v>
      </c>
      <c r="B25" s="2"/>
      <c r="C25" s="2">
        <v>0</v>
      </c>
      <c r="D25" s="2"/>
      <c r="E25" s="2"/>
      <c r="G25" s="2"/>
      <c r="H25" s="2"/>
      <c r="J25" s="2"/>
      <c r="K25" s="2"/>
      <c r="M25" s="2"/>
      <c r="P25" s="2"/>
      <c r="Q25" s="2"/>
      <c r="R25" s="2"/>
      <c r="S25" s="2"/>
      <c r="T25" s="2"/>
      <c r="U25" s="2"/>
      <c r="W25" s="2"/>
      <c r="Y25" s="2"/>
      <c r="Z25" s="2"/>
      <c r="AB25" s="2">
        <v>0</v>
      </c>
      <c r="AC25" s="2"/>
      <c r="AE25" s="2"/>
      <c r="AF25" s="2"/>
      <c r="AQ25" s="2"/>
      <c r="AR25" s="2">
        <v>0</v>
      </c>
      <c r="AW25" s="2"/>
      <c r="BF25" s="2"/>
      <c r="BH25" s="2"/>
      <c r="BK25" s="2">
        <f t="shared" si="0"/>
        <v>0</v>
      </c>
    </row>
    <row r="26" spans="1:63" ht="12.75">
      <c r="A26" s="25" t="s">
        <v>297</v>
      </c>
      <c r="B26" s="2"/>
      <c r="C26" s="2">
        <v>23034.134</v>
      </c>
      <c r="D26" s="2"/>
      <c r="E26" s="2"/>
      <c r="G26" s="2"/>
      <c r="H26" s="2"/>
      <c r="J26" s="2"/>
      <c r="K26" s="2"/>
      <c r="M26" s="2"/>
      <c r="P26" s="2">
        <v>507.22</v>
      </c>
      <c r="Q26" s="2"/>
      <c r="R26" s="2"/>
      <c r="S26" s="2"/>
      <c r="T26" s="2">
        <v>42.374</v>
      </c>
      <c r="U26" s="2"/>
      <c r="W26" s="2"/>
      <c r="Y26" s="2"/>
      <c r="Z26" s="2"/>
      <c r="AB26" s="2">
        <v>420663.238</v>
      </c>
      <c r="AC26" s="2"/>
      <c r="AE26" s="2"/>
      <c r="AF26" s="2">
        <v>819.18</v>
      </c>
      <c r="AQ26" s="2"/>
      <c r="AR26" s="2">
        <v>185646.145</v>
      </c>
      <c r="AW26" s="2"/>
      <c r="BF26" s="2"/>
      <c r="BH26" s="2"/>
      <c r="BK26" s="2">
        <f t="shared" si="0"/>
        <v>630712.291</v>
      </c>
    </row>
    <row r="27" spans="1:63" ht="12.75">
      <c r="A27" s="25" t="s">
        <v>356</v>
      </c>
      <c r="B27" s="2"/>
      <c r="C27" s="2">
        <v>0</v>
      </c>
      <c r="D27" s="2"/>
      <c r="E27" s="2"/>
      <c r="G27" s="2"/>
      <c r="H27" s="2"/>
      <c r="J27" s="2"/>
      <c r="K27" s="2"/>
      <c r="M27" s="2"/>
      <c r="P27" s="2"/>
      <c r="Q27" s="2"/>
      <c r="R27" s="2"/>
      <c r="S27" s="2"/>
      <c r="U27" s="2"/>
      <c r="W27" s="2"/>
      <c r="Y27" s="2"/>
      <c r="Z27" s="2"/>
      <c r="AB27" s="2">
        <v>0</v>
      </c>
      <c r="AC27" s="2"/>
      <c r="AE27" s="2"/>
      <c r="AF27" s="2"/>
      <c r="AQ27" s="2"/>
      <c r="AR27" s="2">
        <v>0</v>
      </c>
      <c r="AW27" s="2"/>
      <c r="BF27" s="2"/>
      <c r="BH27" s="2"/>
      <c r="BK27" s="2">
        <f t="shared" si="0"/>
        <v>0</v>
      </c>
    </row>
    <row r="28" spans="1:63" ht="12.75">
      <c r="A28" s="25" t="s">
        <v>296</v>
      </c>
      <c r="B28" s="2"/>
      <c r="C28" s="2">
        <v>0</v>
      </c>
      <c r="D28" s="2"/>
      <c r="E28" s="2"/>
      <c r="G28" s="2"/>
      <c r="H28" s="2"/>
      <c r="J28" s="2"/>
      <c r="K28" s="2"/>
      <c r="M28" s="2"/>
      <c r="P28" s="2"/>
      <c r="Q28" s="2"/>
      <c r="R28" s="2"/>
      <c r="S28" s="2"/>
      <c r="T28" s="2">
        <v>0.044</v>
      </c>
      <c r="U28" s="2"/>
      <c r="W28" s="2"/>
      <c r="Y28" s="2"/>
      <c r="Z28" s="2"/>
      <c r="AB28" s="2">
        <v>0</v>
      </c>
      <c r="AC28" s="2"/>
      <c r="AE28" s="2"/>
      <c r="AF28" s="2"/>
      <c r="AQ28" s="2"/>
      <c r="AR28" s="2">
        <v>0</v>
      </c>
      <c r="AW28" s="2"/>
      <c r="BF28" s="2"/>
      <c r="BH28" s="2"/>
      <c r="BK28" s="2">
        <f t="shared" si="0"/>
        <v>0.044</v>
      </c>
    </row>
    <row r="29" spans="1:63" ht="12.75">
      <c r="A29" s="25" t="s">
        <v>454</v>
      </c>
      <c r="B29" s="2"/>
      <c r="C29" s="2">
        <v>0</v>
      </c>
      <c r="D29" s="2"/>
      <c r="E29" s="2"/>
      <c r="G29" s="2"/>
      <c r="H29" s="2"/>
      <c r="J29" s="2"/>
      <c r="K29" s="2"/>
      <c r="M29" s="2"/>
      <c r="P29" s="2"/>
      <c r="Q29" s="2"/>
      <c r="R29" s="2"/>
      <c r="S29" s="2"/>
      <c r="T29" s="2">
        <v>-0.021</v>
      </c>
      <c r="U29" s="2"/>
      <c r="W29" s="2"/>
      <c r="Y29" s="2"/>
      <c r="Z29" s="2"/>
      <c r="AB29" s="2">
        <v>0</v>
      </c>
      <c r="AC29" s="2"/>
      <c r="AE29" s="2"/>
      <c r="AF29" s="2"/>
      <c r="AQ29" s="116"/>
      <c r="AR29" s="2">
        <v>0</v>
      </c>
      <c r="AW29" s="2"/>
      <c r="BF29" s="2"/>
      <c r="BH29" s="2"/>
      <c r="BK29" s="2">
        <f t="shared" si="0"/>
        <v>-0.021</v>
      </c>
    </row>
    <row r="30" spans="1:63" ht="12.75">
      <c r="A30" s="25" t="s">
        <v>455</v>
      </c>
      <c r="B30" s="2"/>
      <c r="C30" s="2">
        <v>0</v>
      </c>
      <c r="D30" s="2"/>
      <c r="E30" s="2"/>
      <c r="G30" s="2"/>
      <c r="H30" s="2"/>
      <c r="J30" s="2"/>
      <c r="K30" s="2"/>
      <c r="M30" s="2"/>
      <c r="P30" s="2"/>
      <c r="Q30" s="2"/>
      <c r="R30" s="2"/>
      <c r="S30" s="2"/>
      <c r="T30" s="2"/>
      <c r="U30" s="2"/>
      <c r="W30" s="2"/>
      <c r="Y30" s="2"/>
      <c r="Z30" s="2"/>
      <c r="AB30" s="2">
        <v>0</v>
      </c>
      <c r="AC30" s="2"/>
      <c r="AE30" s="2"/>
      <c r="AF30" s="2"/>
      <c r="AQ30" s="2"/>
      <c r="AR30" s="2">
        <v>0</v>
      </c>
      <c r="AW30" s="2"/>
      <c r="BF30" s="2"/>
      <c r="BH30" s="2"/>
      <c r="BK30" s="2">
        <f t="shared" si="0"/>
        <v>0</v>
      </c>
    </row>
    <row r="31" spans="1:63" ht="12.75">
      <c r="A31" s="25" t="s">
        <v>295</v>
      </c>
      <c r="B31" s="2"/>
      <c r="C31" s="2">
        <v>-5899.877</v>
      </c>
      <c r="D31" s="2"/>
      <c r="E31" s="2"/>
      <c r="G31" s="2"/>
      <c r="H31" s="2"/>
      <c r="J31" s="2"/>
      <c r="K31" s="2"/>
      <c r="M31" s="2"/>
      <c r="P31" s="2">
        <v>-860.88</v>
      </c>
      <c r="Q31" s="2"/>
      <c r="R31" s="2"/>
      <c r="S31" s="2"/>
      <c r="T31" s="2">
        <v>-23.163</v>
      </c>
      <c r="U31" s="2"/>
      <c r="W31" s="2"/>
      <c r="Y31" s="2"/>
      <c r="Z31" s="2"/>
      <c r="AB31" s="2">
        <v>-152909.336</v>
      </c>
      <c r="AC31" s="2"/>
      <c r="AE31" s="2"/>
      <c r="AF31" s="2"/>
      <c r="AQ31" s="2"/>
      <c r="AR31" s="2">
        <v>-34428.503</v>
      </c>
      <c r="AW31" s="2"/>
      <c r="BF31" s="2"/>
      <c r="BH31" s="2"/>
      <c r="BK31" s="2">
        <f t="shared" si="0"/>
        <v>-194121.75900000002</v>
      </c>
    </row>
    <row r="32" spans="1:63" ht="6.75" customHeight="1">
      <c r="A32" s="24"/>
      <c r="BK32" s="2">
        <f t="shared" si="0"/>
        <v>0</v>
      </c>
    </row>
    <row r="33" spans="1:63" ht="12.75">
      <c r="A33" s="45" t="s">
        <v>307</v>
      </c>
      <c r="B33" s="41">
        <v>7006.787</v>
      </c>
      <c r="C33" s="41">
        <f>SUM(C22:C31)</f>
        <v>17134.256999999998</v>
      </c>
      <c r="D33" s="41">
        <v>644.781</v>
      </c>
      <c r="E33" s="41">
        <v>1714</v>
      </c>
      <c r="G33" s="41">
        <v>1144.941</v>
      </c>
      <c r="H33" s="41">
        <v>1861.44</v>
      </c>
      <c r="J33" s="41">
        <v>27550.517</v>
      </c>
      <c r="K33" s="41">
        <v>2941.151</v>
      </c>
      <c r="M33" s="41">
        <v>135.658</v>
      </c>
      <c r="P33" s="41">
        <f>SUM(P22:P31)</f>
        <v>1735.5330000000004</v>
      </c>
      <c r="Q33" s="41">
        <v>83.268</v>
      </c>
      <c r="R33" s="41">
        <v>173.022</v>
      </c>
      <c r="S33" s="41">
        <f>629749-8994</f>
        <v>620755</v>
      </c>
      <c r="T33" s="41">
        <f>SUM(T22:T31)</f>
        <v>64.796</v>
      </c>
      <c r="U33" s="41">
        <f>422638-8878</f>
        <v>413760</v>
      </c>
      <c r="W33" s="41">
        <f>SUM(W22:W31)</f>
        <v>0</v>
      </c>
      <c r="Y33" s="41">
        <f>415025-1696</f>
        <v>413329</v>
      </c>
      <c r="Z33" s="41">
        <v>360594.869</v>
      </c>
      <c r="AB33" s="41">
        <f>SUM(AB22:AB31)</f>
        <v>270977.685</v>
      </c>
      <c r="AC33" s="41">
        <v>22.741</v>
      </c>
      <c r="AE33" s="41">
        <v>4117.659</v>
      </c>
      <c r="AF33" s="41">
        <f>SUM(AF22:AF31)</f>
        <v>819.18</v>
      </c>
      <c r="AQ33" s="41">
        <v>116384</v>
      </c>
      <c r="AR33" s="41">
        <f>SUM(AR22:AR31)</f>
        <v>151406.405</v>
      </c>
      <c r="AW33" s="41">
        <v>648.684</v>
      </c>
      <c r="BF33" s="41">
        <v>9501.324</v>
      </c>
      <c r="BH33" s="41">
        <f>SUM(BH22:BH31)</f>
        <v>0</v>
      </c>
      <c r="BK33" s="2">
        <f t="shared" si="0"/>
        <v>2424506.698</v>
      </c>
    </row>
    <row r="34" spans="1:63" ht="4.5" customHeight="1">
      <c r="A34" s="26"/>
      <c r="BK34" s="2"/>
    </row>
    <row r="35" spans="1:63" ht="12.75">
      <c r="A35" s="26" t="s">
        <v>316</v>
      </c>
      <c r="BK35" s="2"/>
    </row>
    <row r="36" spans="1:63" ht="12.75">
      <c r="A36" s="25" t="s">
        <v>312</v>
      </c>
      <c r="B36" s="2"/>
      <c r="C36" s="2">
        <v>0</v>
      </c>
      <c r="D36" s="2"/>
      <c r="E36" s="2"/>
      <c r="G36" s="2"/>
      <c r="H36" s="2"/>
      <c r="J36" s="2"/>
      <c r="K36" s="2"/>
      <c r="M36" s="2"/>
      <c r="P36" s="2"/>
      <c r="Q36" s="2"/>
      <c r="R36" s="2"/>
      <c r="S36" s="2"/>
      <c r="T36" s="2">
        <v>0.716</v>
      </c>
      <c r="U36" s="2"/>
      <c r="W36" s="2"/>
      <c r="Y36" s="2"/>
      <c r="Z36" s="2"/>
      <c r="AB36" s="2">
        <f>1054.401-1.945</f>
        <v>1052.4560000000001</v>
      </c>
      <c r="AC36" s="2"/>
      <c r="AE36" s="2"/>
      <c r="AF36" s="2"/>
      <c r="AQ36" s="2"/>
      <c r="AR36" s="2">
        <v>661.391</v>
      </c>
      <c r="AW36" s="2"/>
      <c r="BF36" s="2"/>
      <c r="BH36" s="2"/>
      <c r="BK36" s="2">
        <f>SUM(B36:BJ36)</f>
        <v>1714.563</v>
      </c>
    </row>
    <row r="37" spans="1:63" ht="12.75">
      <c r="A37" s="25" t="s">
        <v>294</v>
      </c>
      <c r="B37" s="2"/>
      <c r="C37" s="2">
        <v>9.732</v>
      </c>
      <c r="D37" s="2"/>
      <c r="E37" s="2"/>
      <c r="G37" s="2"/>
      <c r="H37" s="2"/>
      <c r="J37" s="2"/>
      <c r="K37" s="2"/>
      <c r="M37" s="2"/>
      <c r="P37" s="2"/>
      <c r="Q37" s="2"/>
      <c r="R37" s="2"/>
      <c r="S37" s="2"/>
      <c r="T37" s="2">
        <v>0.086</v>
      </c>
      <c r="U37" s="2"/>
      <c r="W37" s="2"/>
      <c r="Y37" s="2"/>
      <c r="Z37" s="2"/>
      <c r="AB37" s="2">
        <v>1630.261</v>
      </c>
      <c r="AC37" s="2"/>
      <c r="AE37" s="2"/>
      <c r="AF37" s="2"/>
      <c r="AQ37" s="2"/>
      <c r="AR37" s="2">
        <v>3.683</v>
      </c>
      <c r="AW37" s="2"/>
      <c r="BF37" s="2"/>
      <c r="BH37" s="2"/>
      <c r="BK37" s="2">
        <f>SUM(B37:BJ37)</f>
        <v>1643.762</v>
      </c>
    </row>
    <row r="38" spans="1:63" ht="12.75">
      <c r="A38" s="25" t="s">
        <v>357</v>
      </c>
      <c r="B38" s="2"/>
      <c r="C38" s="2">
        <v>0</v>
      </c>
      <c r="D38" s="2"/>
      <c r="E38" s="2"/>
      <c r="G38" s="2"/>
      <c r="H38" s="2"/>
      <c r="J38" s="2"/>
      <c r="K38" s="2"/>
      <c r="M38" s="2"/>
      <c r="P38" s="2"/>
      <c r="Q38" s="2"/>
      <c r="R38" s="2"/>
      <c r="S38" s="2"/>
      <c r="T38" s="2"/>
      <c r="U38" s="2"/>
      <c r="W38" s="2"/>
      <c r="Y38" s="2"/>
      <c r="Z38" s="2"/>
      <c r="AB38" s="2">
        <v>0</v>
      </c>
      <c r="AC38" s="2"/>
      <c r="AE38" s="2"/>
      <c r="AF38" s="2"/>
      <c r="AQ38" s="2"/>
      <c r="AR38" s="2">
        <v>0</v>
      </c>
      <c r="AW38" s="2"/>
      <c r="BF38" s="2"/>
      <c r="BH38" s="2"/>
      <c r="BK38" s="2">
        <f>SUM(B38:BJ38)</f>
        <v>0</v>
      </c>
    </row>
    <row r="39" spans="1:63" ht="12.75">
      <c r="A39" s="25" t="s">
        <v>293</v>
      </c>
      <c r="B39" s="2"/>
      <c r="C39" s="2">
        <v>0</v>
      </c>
      <c r="D39" s="2"/>
      <c r="E39" s="2"/>
      <c r="G39" s="2"/>
      <c r="H39" s="2"/>
      <c r="J39" s="2"/>
      <c r="K39" s="2"/>
      <c r="M39" s="2"/>
      <c r="P39" s="2"/>
      <c r="Q39" s="2"/>
      <c r="R39" s="2"/>
      <c r="S39" s="2"/>
      <c r="T39" s="2"/>
      <c r="U39" s="2"/>
      <c r="W39" s="2"/>
      <c r="Y39" s="2"/>
      <c r="Z39" s="2"/>
      <c r="AB39" s="2">
        <v>0</v>
      </c>
      <c r="AC39" s="2"/>
      <c r="AE39" s="2"/>
      <c r="AF39" s="2"/>
      <c r="AQ39" s="2"/>
      <c r="AR39" s="2">
        <v>0</v>
      </c>
      <c r="AW39" s="2"/>
      <c r="BF39" s="2"/>
      <c r="BH39" s="2"/>
      <c r="BK39" s="2">
        <f>SUM(B39:BJ39)</f>
        <v>0</v>
      </c>
    </row>
    <row r="40" spans="1:63" ht="12.75">
      <c r="A40" s="25" t="s">
        <v>456</v>
      </c>
      <c r="B40" s="2"/>
      <c r="C40" s="2">
        <v>0</v>
      </c>
      <c r="D40" s="2"/>
      <c r="E40" s="2"/>
      <c r="G40" s="2"/>
      <c r="H40" s="2"/>
      <c r="J40" s="2"/>
      <c r="K40" s="2"/>
      <c r="M40" s="2"/>
      <c r="P40" s="2"/>
      <c r="Q40" s="2"/>
      <c r="R40" s="2"/>
      <c r="S40" s="2"/>
      <c r="T40" s="2"/>
      <c r="U40" s="2"/>
      <c r="W40" s="2"/>
      <c r="Y40" s="2"/>
      <c r="Z40" s="2"/>
      <c r="AB40" s="2">
        <v>0</v>
      </c>
      <c r="AC40" s="2"/>
      <c r="AE40" s="2"/>
      <c r="AF40" s="2"/>
      <c r="AQ40" s="2"/>
      <c r="AR40" s="2">
        <v>0</v>
      </c>
      <c r="AW40" s="2"/>
      <c r="BF40" s="2"/>
      <c r="BH40" s="2"/>
      <c r="BK40" s="2">
        <f>SUM(B40:BJ40)</f>
        <v>0</v>
      </c>
    </row>
    <row r="41" spans="1:63" ht="4.5" customHeight="1">
      <c r="A41" s="24"/>
      <c r="BK41" s="2"/>
    </row>
    <row r="42" spans="1:63" ht="12.75">
      <c r="A42" s="45" t="s">
        <v>308</v>
      </c>
      <c r="B42" s="41">
        <v>38.607</v>
      </c>
      <c r="C42" s="41">
        <f>SUM(C36:C40)</f>
        <v>9.732</v>
      </c>
      <c r="D42" s="41">
        <v>41.455</v>
      </c>
      <c r="G42" s="41">
        <v>7.028</v>
      </c>
      <c r="H42" s="41">
        <v>211.93</v>
      </c>
      <c r="J42" s="41">
        <v>0</v>
      </c>
      <c r="K42" s="41">
        <f>SUM(K36:K40)</f>
        <v>0</v>
      </c>
      <c r="M42" s="41">
        <v>0</v>
      </c>
      <c r="P42" s="41">
        <f>SUM(P36:P40)</f>
        <v>0</v>
      </c>
      <c r="Q42" s="41">
        <f>SUM(Q36:Q40)</f>
        <v>0</v>
      </c>
      <c r="R42" s="41">
        <v>37.846</v>
      </c>
      <c r="S42" s="41">
        <v>27504</v>
      </c>
      <c r="T42" s="41">
        <f>SUM(T36:T40)</f>
        <v>0.8019999999999999</v>
      </c>
      <c r="U42" s="41">
        <v>727</v>
      </c>
      <c r="W42" s="41">
        <f>SUM(W36:W40)</f>
        <v>0</v>
      </c>
      <c r="Y42" s="41">
        <v>17003</v>
      </c>
      <c r="Z42" s="41">
        <v>1480.034</v>
      </c>
      <c r="AB42" s="41">
        <f>SUM(AB36:AB40)</f>
        <v>2682.717</v>
      </c>
      <c r="AC42" s="41">
        <v>0</v>
      </c>
      <c r="AE42" s="41">
        <f>SUM(AE36:AE40)</f>
        <v>0</v>
      </c>
      <c r="AF42" s="41">
        <f>SUM(AF36:AF40)</f>
        <v>0</v>
      </c>
      <c r="AQ42" s="41">
        <v>5006</v>
      </c>
      <c r="AR42" s="41">
        <f>SUM(AR36:AR40)</f>
        <v>665.074</v>
      </c>
      <c r="AW42" s="41">
        <v>0</v>
      </c>
      <c r="BF42" s="41">
        <v>0</v>
      </c>
      <c r="BH42" s="41">
        <f>SUM(BH36:BH40)</f>
        <v>0</v>
      </c>
      <c r="BK42" s="2">
        <f>SUM(B42:BJ42)</f>
        <v>55415.225</v>
      </c>
    </row>
    <row r="43" spans="1:63" ht="4.5" customHeight="1">
      <c r="A43" s="24"/>
      <c r="BK43" s="2"/>
    </row>
    <row r="44" spans="1:63" ht="12.75">
      <c r="A44" s="46" t="s">
        <v>317</v>
      </c>
      <c r="BK44" s="2"/>
    </row>
    <row r="45" spans="1:63" ht="12.75">
      <c r="A45" s="25" t="s">
        <v>312</v>
      </c>
      <c r="B45" s="2"/>
      <c r="C45" s="2">
        <v>172.116</v>
      </c>
      <c r="D45" s="2"/>
      <c r="E45" s="2"/>
      <c r="G45" s="2"/>
      <c r="H45" s="2"/>
      <c r="J45" s="2"/>
      <c r="K45" s="2"/>
      <c r="M45" s="2"/>
      <c r="P45" s="2">
        <v>534</v>
      </c>
      <c r="Q45" s="2"/>
      <c r="R45" s="2"/>
      <c r="S45" s="2"/>
      <c r="T45" s="2">
        <v>0.692</v>
      </c>
      <c r="U45" s="2"/>
      <c r="W45" s="2"/>
      <c r="Y45" s="2"/>
      <c r="Z45" s="2"/>
      <c r="AB45" s="2">
        <f>527.2-0.972</f>
        <v>526.2280000000001</v>
      </c>
      <c r="AC45" s="2"/>
      <c r="AE45" s="2"/>
      <c r="AF45" s="2"/>
      <c r="AQ45" s="2"/>
      <c r="AR45" s="2">
        <v>0</v>
      </c>
      <c r="AW45" s="2"/>
      <c r="BF45" s="2"/>
      <c r="BH45" s="2"/>
      <c r="BK45" s="2">
        <f>SUM(B45:BJ45)</f>
        <v>1233.036</v>
      </c>
    </row>
    <row r="46" spans="1:63" ht="12.75">
      <c r="A46" s="25" t="s">
        <v>292</v>
      </c>
      <c r="B46" s="2"/>
      <c r="C46" s="2">
        <v>0</v>
      </c>
      <c r="D46" s="2"/>
      <c r="E46" s="2"/>
      <c r="G46" s="2"/>
      <c r="H46" s="2"/>
      <c r="J46" s="2"/>
      <c r="K46" s="2"/>
      <c r="M46" s="2"/>
      <c r="P46" s="2"/>
      <c r="Q46" s="2"/>
      <c r="R46" s="2"/>
      <c r="S46" s="2"/>
      <c r="T46" s="2"/>
      <c r="U46" s="2"/>
      <c r="W46" s="2"/>
      <c r="Y46" s="2"/>
      <c r="Z46" s="2"/>
      <c r="AB46" s="2">
        <v>891.206</v>
      </c>
      <c r="AC46" s="2"/>
      <c r="AE46" s="2"/>
      <c r="AF46" s="2"/>
      <c r="AQ46" s="2"/>
      <c r="AR46" s="2">
        <v>1342.825</v>
      </c>
      <c r="AW46" s="2"/>
      <c r="BF46" s="2"/>
      <c r="BH46" s="2"/>
      <c r="BK46" s="2">
        <f>SUM(B46:BJ46)</f>
        <v>2234.031</v>
      </c>
    </row>
    <row r="47" spans="1:63" ht="4.5" customHeight="1">
      <c r="A47" s="24"/>
      <c r="BK47" s="2"/>
    </row>
    <row r="48" spans="1:63" ht="12.75">
      <c r="A48" s="45" t="s">
        <v>309</v>
      </c>
      <c r="B48" s="41">
        <f>SUM(B45:B46)</f>
        <v>0</v>
      </c>
      <c r="C48" s="41">
        <f>SUM(C45:C46)</f>
        <v>172.116</v>
      </c>
      <c r="D48" s="41">
        <v>0</v>
      </c>
      <c r="E48" s="41">
        <v>3.071</v>
      </c>
      <c r="G48" s="41">
        <v>14.057</v>
      </c>
      <c r="H48" s="41">
        <v>0</v>
      </c>
      <c r="J48" s="41">
        <v>0</v>
      </c>
      <c r="K48" s="41">
        <f>SUM(K45:K46)</f>
        <v>0</v>
      </c>
      <c r="M48" s="41">
        <v>0</v>
      </c>
      <c r="P48" s="41">
        <f>SUM(P45:P46)</f>
        <v>534</v>
      </c>
      <c r="Q48" s="41">
        <f>SUM(Q45:Q46)</f>
        <v>0</v>
      </c>
      <c r="R48" s="41">
        <f>SUM(R45:R46)</f>
        <v>0</v>
      </c>
      <c r="S48" s="41">
        <v>9561</v>
      </c>
      <c r="T48" s="41">
        <f>SUM(T45:T46)</f>
        <v>0.692</v>
      </c>
      <c r="U48" s="41">
        <v>2661</v>
      </c>
      <c r="W48" s="41">
        <f>SUM(W45:W46)</f>
        <v>0</v>
      </c>
      <c r="Y48" s="41">
        <v>1927</v>
      </c>
      <c r="Z48" s="41">
        <v>4531.132</v>
      </c>
      <c r="AB48" s="41">
        <f>SUM(AB45:AB46)</f>
        <v>1417.4340000000002</v>
      </c>
      <c r="AC48" s="41">
        <v>0</v>
      </c>
      <c r="AE48" s="41">
        <f>SUM(AE45:AE46)</f>
        <v>0</v>
      </c>
      <c r="AF48" s="41">
        <f>SUM(AF45:AF46)</f>
        <v>0</v>
      </c>
      <c r="AQ48" s="41">
        <v>658</v>
      </c>
      <c r="AR48" s="41">
        <f>SUM(AR45:AR46)</f>
        <v>1342.825</v>
      </c>
      <c r="AW48" s="41">
        <v>0</v>
      </c>
      <c r="BF48" s="41">
        <v>286.8</v>
      </c>
      <c r="BH48" s="41">
        <f>SUM(BH45:BH46)</f>
        <v>0</v>
      </c>
      <c r="BK48" s="2">
        <f>SUM(B48:BJ48)</f>
        <v>23109.127</v>
      </c>
    </row>
    <row r="49" spans="1:63" ht="5.25" customHeight="1">
      <c r="A49" s="24"/>
      <c r="BK49" s="2"/>
    </row>
    <row r="50" spans="1:63" ht="12.75">
      <c r="A50" s="26" t="s">
        <v>318</v>
      </c>
      <c r="B50" s="116"/>
      <c r="C50" s="116">
        <v>0</v>
      </c>
      <c r="D50" s="116"/>
      <c r="E50" s="116"/>
      <c r="G50" s="116"/>
      <c r="H50" s="116"/>
      <c r="J50" s="116"/>
      <c r="K50" s="116"/>
      <c r="M50" s="116"/>
      <c r="P50" s="116"/>
      <c r="Q50" s="116"/>
      <c r="R50" s="116"/>
      <c r="S50" s="116">
        <v>0</v>
      </c>
      <c r="T50" s="116">
        <v>0.046</v>
      </c>
      <c r="U50" s="116">
        <v>0</v>
      </c>
      <c r="W50" s="116"/>
      <c r="Y50" s="116">
        <v>0</v>
      </c>
      <c r="Z50" s="116"/>
      <c r="AB50" s="116">
        <v>0</v>
      </c>
      <c r="AC50" s="116"/>
      <c r="AE50" s="116"/>
      <c r="AF50" s="116"/>
      <c r="AQ50" s="116"/>
      <c r="AR50" s="116">
        <v>0</v>
      </c>
      <c r="AW50" s="116"/>
      <c r="BF50" s="116">
        <v>0</v>
      </c>
      <c r="BH50" s="116"/>
      <c r="BK50" s="2">
        <f>SUM(B50:BJ50)</f>
        <v>0.046</v>
      </c>
    </row>
    <row r="51" spans="1:63" ht="6" customHeight="1">
      <c r="A51" s="24"/>
      <c r="B51" s="13"/>
      <c r="C51" s="13"/>
      <c r="D51" s="13"/>
      <c r="E51" s="13"/>
      <c r="G51" s="13"/>
      <c r="H51" s="13"/>
      <c r="J51" s="13"/>
      <c r="K51" s="13"/>
      <c r="M51" s="13"/>
      <c r="P51" s="13"/>
      <c r="Q51" s="13"/>
      <c r="R51" s="13"/>
      <c r="S51" s="13"/>
      <c r="T51" s="13"/>
      <c r="U51" s="13"/>
      <c r="W51" s="13"/>
      <c r="Y51" s="13"/>
      <c r="Z51" s="13"/>
      <c r="AB51" s="13"/>
      <c r="AC51" s="13"/>
      <c r="AE51" s="13"/>
      <c r="AF51" s="13"/>
      <c r="AQ51" s="13"/>
      <c r="AR51" s="13"/>
      <c r="AW51" s="13"/>
      <c r="BF51" s="13"/>
      <c r="BH51" s="13"/>
      <c r="BK51" s="2"/>
    </row>
    <row r="52" spans="1:63" ht="12.75">
      <c r="A52" s="26" t="s">
        <v>319</v>
      </c>
      <c r="B52" s="116"/>
      <c r="C52" s="116">
        <v>0</v>
      </c>
      <c r="D52" s="116"/>
      <c r="E52" s="116"/>
      <c r="G52" s="116"/>
      <c r="H52" s="116"/>
      <c r="J52" s="116"/>
      <c r="K52" s="116"/>
      <c r="M52" s="116"/>
      <c r="P52" s="116"/>
      <c r="Q52" s="116"/>
      <c r="R52" s="116"/>
      <c r="S52" s="116">
        <v>0</v>
      </c>
      <c r="T52" s="116">
        <v>0</v>
      </c>
      <c r="U52" s="116">
        <v>0</v>
      </c>
      <c r="W52" s="116"/>
      <c r="Y52" s="116">
        <v>0</v>
      </c>
      <c r="Z52" s="116"/>
      <c r="AB52" s="116">
        <v>0</v>
      </c>
      <c r="AC52" s="116"/>
      <c r="AE52" s="116"/>
      <c r="AF52" s="116"/>
      <c r="AR52" s="116">
        <v>0</v>
      </c>
      <c r="AW52" s="116"/>
      <c r="BF52" s="116">
        <v>0</v>
      </c>
      <c r="BH52" s="116"/>
      <c r="BK52" s="2">
        <f>SUM(B52:BJ52)</f>
        <v>0</v>
      </c>
    </row>
    <row r="53" spans="1:63" ht="5.25" customHeight="1">
      <c r="A53" s="24"/>
      <c r="BK53" s="2"/>
    </row>
    <row r="54" spans="1:63" ht="12.75">
      <c r="A54" s="26" t="s">
        <v>320</v>
      </c>
      <c r="BK54" s="2"/>
    </row>
    <row r="55" spans="1:63" ht="12.75">
      <c r="A55" s="26" t="s">
        <v>321</v>
      </c>
      <c r="B55" s="41">
        <f>B11-B19+B33-B42-B48+B50-B52</f>
        <v>142730.05400000003</v>
      </c>
      <c r="C55" s="41">
        <f>C11-C19+C33-C42-C48+C50-C52</f>
        <v>207665.02000000002</v>
      </c>
      <c r="D55" s="41">
        <f>D11-D19+D33-D42-D48+D50-D52</f>
        <v>19333.013999999996</v>
      </c>
      <c r="E55" s="41">
        <f>E11-E19+E33-E42-E48+E50-E52</f>
        <v>32424.929</v>
      </c>
      <c r="G55" s="41">
        <f>G11-G19+G33-G42-G48+G50-G52</f>
        <v>8131.71</v>
      </c>
      <c r="H55" s="41">
        <f>H11-H19+H33-H42-H48+H50-H52</f>
        <v>11485.846</v>
      </c>
      <c r="J55" s="41">
        <f>J11-J19+J33-J42-J48+J50-J52</f>
        <v>287185.76</v>
      </c>
      <c r="K55" s="41">
        <f>K11-K19+K33-K42-K48+K50-K52</f>
        <v>25618.406000000003</v>
      </c>
      <c r="M55" s="41">
        <f>M11-M19+M33-M42-M48+M50-M52</f>
        <v>2135.658</v>
      </c>
      <c r="P55" s="41">
        <f aca="true" t="shared" si="1" ref="P55:U55">P11-P19+P33-P42-P48+P50-P52</f>
        <v>30591.492</v>
      </c>
      <c r="Q55" s="41">
        <f t="shared" si="1"/>
        <v>2006.93</v>
      </c>
      <c r="R55" s="41">
        <f t="shared" si="1"/>
        <v>1475.865</v>
      </c>
      <c r="S55" s="41">
        <f t="shared" si="1"/>
        <v>1545648</v>
      </c>
      <c r="T55" s="41">
        <f t="shared" si="1"/>
        <v>873.745</v>
      </c>
      <c r="U55" s="41">
        <f t="shared" si="1"/>
        <v>1691659</v>
      </c>
      <c r="W55" s="41">
        <f>W11-W19+W33-W42-W48+W50-W52</f>
        <v>0</v>
      </c>
      <c r="Y55" s="41">
        <f>Y11-Y19+Y33-Y42-Y48+Y50-Y52</f>
        <v>1727782</v>
      </c>
      <c r="Z55" s="41">
        <f>Z11-Z19+Z33-Z42-Z48+Z50-Z52</f>
        <v>597687.1660000001</v>
      </c>
      <c r="AB55" s="41">
        <f>AB11-AB19+AB33-AB42-AB48+AB50-AB52</f>
        <v>845608.3449999999</v>
      </c>
      <c r="AC55" s="41">
        <f>AC11-AC19+AC33-AC42-AC48+AC50-AC52</f>
        <v>359.741</v>
      </c>
      <c r="AE55" s="41">
        <f>AE11-AE19+AE33-AE42-AE48+AE50-AE52</f>
        <v>16820.342</v>
      </c>
      <c r="AF55" s="41">
        <f>AF11-AF19+AF33-AF42-AF48+AF50-AF52</f>
        <v>20833.489</v>
      </c>
      <c r="AQ55" s="41">
        <f>AQ11-AQ19+AQ33-AQ42-AQ48+AQ50-AQ29</f>
        <v>152745</v>
      </c>
      <c r="AR55" s="41">
        <f>AR11-AR19+AR33-AR42-AR48+AR50-AR52</f>
        <v>560062.868</v>
      </c>
      <c r="AW55" s="41">
        <f>AW11-AW19+AW33-AW42-AW48+AW50-AW52</f>
        <v>6824.319</v>
      </c>
      <c r="BF55" s="41">
        <f>BF11-BF19+BF33-BF42-BF48+BF50-BF52</f>
        <v>-195.94299999999822</v>
      </c>
      <c r="BH55" s="41">
        <f>BH11-BH19+BH33-BH42-BH48+BH50-BH52</f>
        <v>0</v>
      </c>
      <c r="BK55" s="2">
        <f>SUM(B55:BJ55)</f>
        <v>7937492.756000001</v>
      </c>
    </row>
    <row r="56" spans="1:63" ht="6" customHeight="1">
      <c r="A56" s="24"/>
      <c r="BK56" s="2"/>
    </row>
    <row r="57" spans="1:63" ht="12.75">
      <c r="A57" s="26" t="s">
        <v>322</v>
      </c>
      <c r="B57" s="41">
        <f>B58+B59</f>
        <v>0</v>
      </c>
      <c r="C57" s="41">
        <f>C58+C59</f>
        <v>0</v>
      </c>
      <c r="D57" s="41">
        <f>D58+D59</f>
        <v>0</v>
      </c>
      <c r="E57" s="41">
        <f>E58+E59</f>
        <v>0</v>
      </c>
      <c r="G57" s="41"/>
      <c r="H57" s="41"/>
      <c r="J57" s="41">
        <f>J58+J59</f>
        <v>0</v>
      </c>
      <c r="K57" s="41">
        <f>K58+K59</f>
        <v>0</v>
      </c>
      <c r="M57" s="41">
        <v>0</v>
      </c>
      <c r="P57" s="41">
        <f>P58+P59</f>
        <v>0</v>
      </c>
      <c r="Q57" s="41">
        <f>Q58+Q59</f>
        <v>0</v>
      </c>
      <c r="R57" s="41">
        <f>R58+R59</f>
        <v>0</v>
      </c>
      <c r="S57" s="41">
        <f>S58+S59</f>
        <v>0</v>
      </c>
      <c r="T57" s="41">
        <f>T58+T59</f>
        <v>0</v>
      </c>
      <c r="U57" s="41"/>
      <c r="W57" s="41">
        <f>W58+W59</f>
        <v>0</v>
      </c>
      <c r="Y57" s="41">
        <f>Y58+Y59</f>
        <v>0</v>
      </c>
      <c r="Z57" s="41">
        <f>Z58+Z59</f>
        <v>0</v>
      </c>
      <c r="AB57" s="41">
        <f>AB58+AB59</f>
        <v>0</v>
      </c>
      <c r="AC57" s="41">
        <f>AC58+AC59</f>
        <v>0</v>
      </c>
      <c r="AE57" s="41">
        <f>AE58+AE59</f>
        <v>0</v>
      </c>
      <c r="AF57" s="41">
        <f>AF58+AF59</f>
        <v>0</v>
      </c>
      <c r="AQ57" s="41">
        <f>AQ58+AQ59</f>
        <v>0</v>
      </c>
      <c r="AR57" s="41">
        <f>AR58+AR59</f>
        <v>0</v>
      </c>
      <c r="AW57" s="41">
        <f>AW58+AW59</f>
        <v>0</v>
      </c>
      <c r="BF57" s="41">
        <f>BF58+BF59</f>
        <v>0</v>
      </c>
      <c r="BH57" s="41">
        <f>BH58+BH59</f>
        <v>0</v>
      </c>
      <c r="BK57" s="2">
        <f>SUM(B57:BJ57)</f>
        <v>0</v>
      </c>
    </row>
    <row r="58" spans="1:63" ht="12.75">
      <c r="A58" s="25" t="s">
        <v>290</v>
      </c>
      <c r="B58" s="116"/>
      <c r="C58" s="116">
        <v>0</v>
      </c>
      <c r="D58" s="116"/>
      <c r="E58" s="116"/>
      <c r="G58" s="116"/>
      <c r="H58" s="116"/>
      <c r="J58" s="116"/>
      <c r="K58" s="116"/>
      <c r="M58" s="116"/>
      <c r="P58" s="116"/>
      <c r="Q58" s="116"/>
      <c r="R58" s="116"/>
      <c r="S58" s="116">
        <v>0</v>
      </c>
      <c r="T58" s="116"/>
      <c r="U58" s="116"/>
      <c r="W58" s="116"/>
      <c r="Y58" s="116">
        <v>0</v>
      </c>
      <c r="Z58" s="116"/>
      <c r="AB58" s="116">
        <v>0</v>
      </c>
      <c r="AC58" s="116"/>
      <c r="AE58" s="116"/>
      <c r="AF58" s="116"/>
      <c r="AQ58" s="116"/>
      <c r="AR58" s="116">
        <v>0</v>
      </c>
      <c r="AW58" s="116"/>
      <c r="BF58" s="116">
        <v>0</v>
      </c>
      <c r="BH58" s="116"/>
      <c r="BK58" s="2">
        <f>SUM(B58:BJ58)</f>
        <v>0</v>
      </c>
    </row>
    <row r="59" spans="1:63" ht="12.75">
      <c r="A59" s="25" t="s">
        <v>291</v>
      </c>
      <c r="B59" s="116"/>
      <c r="C59" s="116">
        <v>0</v>
      </c>
      <c r="D59" s="116"/>
      <c r="E59" s="116"/>
      <c r="G59" s="116"/>
      <c r="H59" s="116"/>
      <c r="J59" s="116"/>
      <c r="K59" s="116"/>
      <c r="M59" s="116"/>
      <c r="P59" s="116"/>
      <c r="Q59" s="116"/>
      <c r="R59" s="116"/>
      <c r="S59" s="116">
        <v>0</v>
      </c>
      <c r="T59" s="116"/>
      <c r="U59" s="116"/>
      <c r="W59" s="116"/>
      <c r="Y59" s="116">
        <v>0</v>
      </c>
      <c r="Z59" s="116"/>
      <c r="AB59" s="116">
        <v>0</v>
      </c>
      <c r="AC59" s="116"/>
      <c r="AE59" s="116"/>
      <c r="AF59" s="116"/>
      <c r="AQ59" s="116"/>
      <c r="AR59" s="116">
        <v>0</v>
      </c>
      <c r="AW59" s="116"/>
      <c r="BF59" s="116">
        <v>0</v>
      </c>
      <c r="BH59" s="116"/>
      <c r="BK59" s="2">
        <f>SUM(B59:BJ59)</f>
        <v>0</v>
      </c>
    </row>
    <row r="60" spans="1:63" ht="4.5" customHeight="1">
      <c r="A60" s="26"/>
      <c r="BK60" s="2"/>
    </row>
    <row r="61" spans="1:63" ht="12.75">
      <c r="A61" s="26" t="s">
        <v>323</v>
      </c>
      <c r="B61" s="116"/>
      <c r="C61" s="116">
        <v>5899.877</v>
      </c>
      <c r="D61" s="116"/>
      <c r="E61" s="116"/>
      <c r="G61" s="116">
        <v>0</v>
      </c>
      <c r="H61" s="116">
        <v>17.701</v>
      </c>
      <c r="J61" s="116"/>
      <c r="K61" s="116"/>
      <c r="M61" s="116"/>
      <c r="P61" s="116">
        <v>860.88</v>
      </c>
      <c r="Q61" s="116"/>
      <c r="R61" s="116"/>
      <c r="S61" s="116">
        <v>351921.024</v>
      </c>
      <c r="T61" s="116">
        <v>13.684</v>
      </c>
      <c r="U61" s="116">
        <v>300904.287</v>
      </c>
      <c r="W61" s="116"/>
      <c r="Y61" s="116">
        <v>200740</v>
      </c>
      <c r="Z61" s="116">
        <v>222445.307</v>
      </c>
      <c r="AB61" s="116">
        <v>152909.336</v>
      </c>
      <c r="AC61" s="116">
        <v>0</v>
      </c>
      <c r="AE61" s="116"/>
      <c r="AF61" s="116"/>
      <c r="AQ61" s="116">
        <v>52647</v>
      </c>
      <c r="AR61" s="116">
        <v>34428.503</v>
      </c>
      <c r="AW61" s="116">
        <v>192.449</v>
      </c>
      <c r="BF61" s="116">
        <v>0</v>
      </c>
      <c r="BH61" s="116"/>
      <c r="BK61" s="2">
        <f>SUM(B61:BJ61)</f>
        <v>1322980.048</v>
      </c>
    </row>
    <row r="62" spans="1:63" ht="5.25" customHeight="1">
      <c r="A62" s="26"/>
      <c r="BK62" s="2"/>
    </row>
    <row r="63" spans="1:63" ht="12.75">
      <c r="A63" s="26" t="s">
        <v>324</v>
      </c>
      <c r="B63" s="41">
        <f>B55+B57+B61</f>
        <v>142730.05400000003</v>
      </c>
      <c r="C63" s="41">
        <f>C55+C57+C61</f>
        <v>213564.89700000003</v>
      </c>
      <c r="D63" s="41">
        <f>D55+D57+D61</f>
        <v>19333.013999999996</v>
      </c>
      <c r="E63" s="41">
        <f>E55+E57+E61</f>
        <v>32424.929</v>
      </c>
      <c r="G63" s="41">
        <f>G55+G57+G61</f>
        <v>8131.71</v>
      </c>
      <c r="H63" s="41">
        <f>H55+H57+H61</f>
        <v>11503.546999999999</v>
      </c>
      <c r="J63" s="41">
        <f>J55+J57+J61</f>
        <v>287185.76</v>
      </c>
      <c r="K63" s="41">
        <f>K55+K57+K61</f>
        <v>25618.406000000003</v>
      </c>
      <c r="M63" s="41">
        <f>M55+M57+M61</f>
        <v>2135.658</v>
      </c>
      <c r="P63" s="41">
        <f aca="true" t="shared" si="2" ref="P63:U63">P55+P57+P61</f>
        <v>31452.372</v>
      </c>
      <c r="Q63" s="41">
        <f t="shared" si="2"/>
        <v>2006.93</v>
      </c>
      <c r="R63" s="41">
        <f t="shared" si="2"/>
        <v>1475.865</v>
      </c>
      <c r="S63" s="41">
        <f t="shared" si="2"/>
        <v>1897569.024</v>
      </c>
      <c r="T63" s="41">
        <f t="shared" si="2"/>
        <v>887.429</v>
      </c>
      <c r="U63" s="41">
        <f t="shared" si="2"/>
        <v>1992563.287</v>
      </c>
      <c r="W63" s="41">
        <f>W55+W57+W61</f>
        <v>0</v>
      </c>
      <c r="Y63" s="41">
        <f>Y55+Y57+Y61</f>
        <v>1928522</v>
      </c>
      <c r="Z63" s="41">
        <f>Z55+Z57+Z61</f>
        <v>820132.4730000001</v>
      </c>
      <c r="AB63" s="41">
        <f>AB55+AB57+AB61</f>
        <v>998517.6809999999</v>
      </c>
      <c r="AC63" s="41">
        <f>AC55+AC57+AC61</f>
        <v>359.741</v>
      </c>
      <c r="AE63" s="41">
        <f>AE55+AE57+AE61</f>
        <v>16820.342</v>
      </c>
      <c r="AF63" s="41">
        <f>AF55+AF57+AF61</f>
        <v>20833.489</v>
      </c>
      <c r="AQ63" s="41">
        <f>AQ55+AQ57+AQ61</f>
        <v>205392</v>
      </c>
      <c r="AR63" s="41">
        <f>AR55+AR57+AR61</f>
        <v>594491.371</v>
      </c>
      <c r="AW63" s="41">
        <f>AW55+AW57+AW61</f>
        <v>7016.768</v>
      </c>
      <c r="BF63" s="41">
        <f>BF55+BF57+BF61</f>
        <v>-195.94299999999822</v>
      </c>
      <c r="BH63" s="41">
        <f>BH55+BH57+BH61</f>
        <v>0</v>
      </c>
      <c r="BK63" s="2">
        <f>SUM(B63:BJ63)</f>
        <v>9260472.804</v>
      </c>
    </row>
    <row r="64" spans="1:63" ht="4.5" customHeight="1">
      <c r="A64" s="24"/>
      <c r="BK64" s="2"/>
    </row>
    <row r="65" spans="1:63" ht="12.75">
      <c r="A65" s="26" t="s">
        <v>325</v>
      </c>
      <c r="B65" s="116">
        <v>1803.015</v>
      </c>
      <c r="C65" s="116">
        <v>0</v>
      </c>
      <c r="D65" s="116">
        <v>0</v>
      </c>
      <c r="E65" s="116">
        <v>2420</v>
      </c>
      <c r="G65" s="116"/>
      <c r="H65" s="116">
        <v>0</v>
      </c>
      <c r="J65" s="116">
        <v>36245.109</v>
      </c>
      <c r="K65" s="116">
        <v>1297.528</v>
      </c>
      <c r="M65" s="116">
        <v>0</v>
      </c>
      <c r="P65" s="116"/>
      <c r="Q65" s="116"/>
      <c r="R65" s="116"/>
      <c r="S65" s="116">
        <v>5437657.947</v>
      </c>
      <c r="T65" s="116">
        <v>202.85</v>
      </c>
      <c r="U65" s="116">
        <v>4405226.127</v>
      </c>
      <c r="W65" s="116"/>
      <c r="Y65" s="116">
        <f>2002557+1459597</f>
        <v>3462154</v>
      </c>
      <c r="Z65" s="116">
        <v>3685037.117</v>
      </c>
      <c r="AB65" s="116">
        <v>2314143.183</v>
      </c>
      <c r="AC65" s="116">
        <v>0</v>
      </c>
      <c r="AE65" s="116">
        <v>9034.366</v>
      </c>
      <c r="AF65" s="116">
        <v>0</v>
      </c>
      <c r="AQ65" s="116">
        <v>865113</v>
      </c>
      <c r="AR65" s="116">
        <v>439324.183</v>
      </c>
      <c r="AW65" s="116">
        <v>0</v>
      </c>
      <c r="BF65" s="116">
        <v>91235.997</v>
      </c>
      <c r="BH65" s="116"/>
      <c r="BK65" s="2">
        <f>SUM(B65:BJ65)</f>
        <v>20750894.422000002</v>
      </c>
    </row>
    <row r="66" spans="1:63" ht="6.75" customHeight="1">
      <c r="A66" s="26"/>
      <c r="BK66" s="2"/>
    </row>
    <row r="67" spans="1:63" ht="12" customHeight="1">
      <c r="A67" s="26" t="s">
        <v>407</v>
      </c>
      <c r="BK67" s="2"/>
    </row>
    <row r="68" spans="1:63" ht="12.75">
      <c r="A68" s="26" t="s">
        <v>408</v>
      </c>
      <c r="B68" s="41">
        <f>B65+B63</f>
        <v>144533.06900000005</v>
      </c>
      <c r="C68" s="41">
        <f>C65+C63</f>
        <v>213564.89700000003</v>
      </c>
      <c r="D68" s="41">
        <f>D65+D63</f>
        <v>19333.013999999996</v>
      </c>
      <c r="E68" s="41">
        <f>E65+E63</f>
        <v>34844.929000000004</v>
      </c>
      <c r="G68" s="41">
        <f>G65+G63</f>
        <v>8131.71</v>
      </c>
      <c r="H68" s="41">
        <f>H65+H63</f>
        <v>11503.546999999999</v>
      </c>
      <c r="J68" s="41">
        <f>J65+J63</f>
        <v>323430.869</v>
      </c>
      <c r="K68" s="41">
        <f>K65+K63</f>
        <v>26915.934</v>
      </c>
      <c r="M68" s="41">
        <f>M65+M63</f>
        <v>2135.658</v>
      </c>
      <c r="P68" s="41">
        <f aca="true" t="shared" si="3" ref="P68:U68">P65+P63</f>
        <v>31452.372</v>
      </c>
      <c r="Q68" s="41">
        <f t="shared" si="3"/>
        <v>2006.93</v>
      </c>
      <c r="R68" s="41">
        <f t="shared" si="3"/>
        <v>1475.865</v>
      </c>
      <c r="S68" s="41">
        <f t="shared" si="3"/>
        <v>7335226.971</v>
      </c>
      <c r="T68" s="41">
        <f t="shared" si="3"/>
        <v>1090.279</v>
      </c>
      <c r="U68" s="41">
        <f t="shared" si="3"/>
        <v>6397789.414000001</v>
      </c>
      <c r="W68" s="41">
        <f>W65+W63</f>
        <v>0</v>
      </c>
      <c r="Y68" s="41">
        <f>Y65+Y63</f>
        <v>5390676</v>
      </c>
      <c r="Z68" s="41">
        <f>Z65+Z63</f>
        <v>4505169.59</v>
      </c>
      <c r="AB68" s="41">
        <f>AB65+AB63</f>
        <v>3312660.864</v>
      </c>
      <c r="AC68" s="41">
        <f>AC65+AC63</f>
        <v>359.741</v>
      </c>
      <c r="AE68" s="41">
        <f>AE65+AE63</f>
        <v>25854.708</v>
      </c>
      <c r="AF68" s="41">
        <f>AF65+AF63</f>
        <v>20833.489</v>
      </c>
      <c r="AQ68" s="41">
        <f>AQ65+AQ63</f>
        <v>1070505</v>
      </c>
      <c r="AR68" s="41">
        <f>AR65+AR63</f>
        <v>1033815.554</v>
      </c>
      <c r="AW68" s="41">
        <f>AW65+AW63</f>
        <v>7016.768</v>
      </c>
      <c r="BF68" s="41">
        <f>BF65+BF63</f>
        <v>91040.054</v>
      </c>
      <c r="BH68" s="41">
        <f>BH65+BH63</f>
        <v>0</v>
      </c>
      <c r="BK68" s="2">
        <f>SUM(B68:BJ68)</f>
        <v>30011367.226000004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P42"/>
  <sheetViews>
    <sheetView zoomScalePageLayoutView="0" workbookViewId="0" topLeftCell="A1">
      <pane xSplit="3735" ySplit="1515" topLeftCell="AE24" activePane="bottomRight" state="split"/>
      <selection pane="topLeft" activeCell="AY14" sqref="AY14"/>
      <selection pane="topRight" activeCell="BK1" sqref="BK1:BK16384"/>
      <selection pane="bottomLeft" activeCell="A42" sqref="A42"/>
      <selection pane="bottomRight" activeCell="AE34" sqref="AE34"/>
    </sheetView>
  </sheetViews>
  <sheetFormatPr defaultColWidth="9.00390625" defaultRowHeight="12.75"/>
  <cols>
    <col min="1" max="1" width="26.75390625" style="0" customWidth="1"/>
    <col min="64" max="64" width="9.75390625" style="0" customWidth="1"/>
    <col min="65" max="65" width="3.375" style="0" customWidth="1"/>
    <col min="66" max="66" width="9.375" style="0" customWidth="1"/>
    <col min="67" max="67" width="9.625" style="0" customWidth="1"/>
    <col min="68" max="68" width="2.875" style="0" customWidth="1"/>
  </cols>
  <sheetData>
    <row r="1" spans="1:68" ht="12.75">
      <c r="A1" s="20"/>
      <c r="B1" s="52" t="s">
        <v>0</v>
      </c>
      <c r="C1" s="52" t="s">
        <v>0</v>
      </c>
      <c r="D1" s="52" t="s">
        <v>0</v>
      </c>
      <c r="E1" s="52" t="s">
        <v>1</v>
      </c>
      <c r="F1" s="52" t="s">
        <v>0</v>
      </c>
      <c r="G1" s="52" t="s">
        <v>0</v>
      </c>
      <c r="H1" s="52" t="s">
        <v>2</v>
      </c>
      <c r="I1" s="52" t="s">
        <v>0</v>
      </c>
      <c r="J1" s="52" t="s">
        <v>3</v>
      </c>
      <c r="K1" s="52" t="s">
        <v>0</v>
      </c>
      <c r="L1" s="52" t="s">
        <v>0</v>
      </c>
      <c r="M1" s="52" t="s">
        <v>0</v>
      </c>
      <c r="N1" s="52" t="s">
        <v>0</v>
      </c>
      <c r="O1" s="52" t="s">
        <v>0</v>
      </c>
      <c r="P1" s="53" t="s">
        <v>0</v>
      </c>
      <c r="Q1" s="52" t="s">
        <v>0</v>
      </c>
      <c r="R1" s="52" t="s">
        <v>0</v>
      </c>
      <c r="S1" s="52" t="s">
        <v>5</v>
      </c>
      <c r="T1" s="52" t="s">
        <v>0</v>
      </c>
      <c r="U1" s="52" t="s">
        <v>7</v>
      </c>
      <c r="V1" s="52" t="s">
        <v>0</v>
      </c>
      <c r="W1" s="52" t="s">
        <v>418</v>
      </c>
      <c r="X1" s="52" t="s">
        <v>0</v>
      </c>
      <c r="Y1" s="52" t="s">
        <v>6</v>
      </c>
      <c r="Z1" s="52" t="s">
        <v>0</v>
      </c>
      <c r="AA1" s="52" t="s">
        <v>0</v>
      </c>
      <c r="AB1" s="52" t="s">
        <v>8</v>
      </c>
      <c r="AC1" s="52" t="s">
        <v>0</v>
      </c>
      <c r="AD1" s="52" t="s">
        <v>0</v>
      </c>
      <c r="AE1" s="52" t="s">
        <v>6</v>
      </c>
      <c r="AF1" s="52" t="s">
        <v>0</v>
      </c>
      <c r="AG1" s="52" t="s">
        <v>0</v>
      </c>
      <c r="AH1" s="52" t="s">
        <v>4</v>
      </c>
      <c r="AI1" s="52" t="s">
        <v>0</v>
      </c>
      <c r="AJ1" s="52" t="s">
        <v>0</v>
      </c>
      <c r="AK1" s="52" t="s">
        <v>0</v>
      </c>
      <c r="AL1" s="52" t="s">
        <v>0</v>
      </c>
      <c r="AM1" s="52" t="s">
        <v>4</v>
      </c>
      <c r="AN1" s="52" t="s">
        <v>0</v>
      </c>
      <c r="AO1" s="52" t="s">
        <v>0</v>
      </c>
      <c r="AP1" s="52" t="s">
        <v>4</v>
      </c>
      <c r="AQ1" s="52" t="s">
        <v>0</v>
      </c>
      <c r="AR1" s="52" t="s">
        <v>54</v>
      </c>
      <c r="AS1" s="52" t="s">
        <v>0</v>
      </c>
      <c r="AT1" s="52" t="s">
        <v>0</v>
      </c>
      <c r="AU1" s="52" t="s">
        <v>0</v>
      </c>
      <c r="AV1" s="52" t="s">
        <v>4</v>
      </c>
      <c r="AW1" s="52" t="s">
        <v>0</v>
      </c>
      <c r="AX1" s="52" t="s">
        <v>4</v>
      </c>
      <c r="AY1" s="52" t="s">
        <v>0</v>
      </c>
      <c r="AZ1" s="52" t="s">
        <v>4</v>
      </c>
      <c r="BA1" s="52" t="s">
        <v>6</v>
      </c>
      <c r="BB1" s="52" t="s">
        <v>0</v>
      </c>
      <c r="BC1" s="52" t="s">
        <v>0</v>
      </c>
      <c r="BD1" s="52" t="s">
        <v>0</v>
      </c>
      <c r="BE1" s="52" t="s">
        <v>4</v>
      </c>
      <c r="BF1" s="52" t="s">
        <v>9</v>
      </c>
      <c r="BG1" s="52" t="s">
        <v>0</v>
      </c>
      <c r="BH1" s="52" t="s">
        <v>0</v>
      </c>
      <c r="BI1" s="52" t="s">
        <v>0</v>
      </c>
      <c r="BL1" s="27" t="s">
        <v>10</v>
      </c>
      <c r="BM1" s="27"/>
      <c r="BN1" s="56" t="s">
        <v>0</v>
      </c>
      <c r="BO1" s="56" t="s">
        <v>0</v>
      </c>
      <c r="BP1" s="27"/>
    </row>
    <row r="2" spans="1:68" ht="12.75">
      <c r="A2" s="22" t="s">
        <v>11</v>
      </c>
      <c r="B2" s="52" t="s">
        <v>12</v>
      </c>
      <c r="C2" s="52" t="s">
        <v>14</v>
      </c>
      <c r="D2" s="52" t="s">
        <v>16</v>
      </c>
      <c r="E2" s="52" t="s">
        <v>15</v>
      </c>
      <c r="F2" s="52" t="s">
        <v>13</v>
      </c>
      <c r="G2" s="52" t="s">
        <v>17</v>
      </c>
      <c r="H2" s="52" t="s">
        <v>15</v>
      </c>
      <c r="I2" s="52" t="s">
        <v>431</v>
      </c>
      <c r="J2" s="52" t="s">
        <v>15</v>
      </c>
      <c r="K2" s="52" t="s">
        <v>352</v>
      </c>
      <c r="L2" s="52" t="s">
        <v>19</v>
      </c>
      <c r="M2" s="52" t="s">
        <v>20</v>
      </c>
      <c r="N2" s="52" t="s">
        <v>18</v>
      </c>
      <c r="O2" s="52" t="s">
        <v>22</v>
      </c>
      <c r="P2" s="53" t="s">
        <v>443</v>
      </c>
      <c r="Q2" s="52" t="s">
        <v>21</v>
      </c>
      <c r="R2" s="52" t="s">
        <v>23</v>
      </c>
      <c r="S2" s="52" t="s">
        <v>15</v>
      </c>
      <c r="T2" s="52" t="s">
        <v>24</v>
      </c>
      <c r="U2" s="52" t="s">
        <v>30</v>
      </c>
      <c r="V2" s="52" t="s">
        <v>25</v>
      </c>
      <c r="W2" s="52" t="s">
        <v>49</v>
      </c>
      <c r="X2" s="52" t="s">
        <v>14</v>
      </c>
      <c r="Y2" s="52" t="s">
        <v>29</v>
      </c>
      <c r="Z2" s="52" t="s">
        <v>433</v>
      </c>
      <c r="AA2" s="52" t="s">
        <v>76</v>
      </c>
      <c r="AB2" s="52" t="s">
        <v>15</v>
      </c>
      <c r="AC2" s="52" t="s">
        <v>26</v>
      </c>
      <c r="AD2" s="52" t="s">
        <v>14</v>
      </c>
      <c r="AE2" s="52" t="s">
        <v>29</v>
      </c>
      <c r="AF2" s="52" t="s">
        <v>27</v>
      </c>
      <c r="AG2" s="52" t="s">
        <v>28</v>
      </c>
      <c r="AH2" s="52" t="s">
        <v>14</v>
      </c>
      <c r="AI2" s="52" t="s">
        <v>32</v>
      </c>
      <c r="AJ2" s="52" t="s">
        <v>31</v>
      </c>
      <c r="AK2" s="52" t="s">
        <v>33</v>
      </c>
      <c r="AL2" s="52" t="s">
        <v>35</v>
      </c>
      <c r="AM2" s="52" t="s">
        <v>34</v>
      </c>
      <c r="AN2" s="52" t="s">
        <v>37</v>
      </c>
      <c r="AO2" s="52" t="s">
        <v>36</v>
      </c>
      <c r="AP2" s="52" t="s">
        <v>38</v>
      </c>
      <c r="AQ2" s="52" t="s">
        <v>40</v>
      </c>
      <c r="AR2" s="52" t="s">
        <v>15</v>
      </c>
      <c r="AS2" s="52" t="s">
        <v>39</v>
      </c>
      <c r="AT2" s="52" t="s">
        <v>41</v>
      </c>
      <c r="AU2" s="52" t="s">
        <v>43</v>
      </c>
      <c r="AV2" s="52" t="s">
        <v>42</v>
      </c>
      <c r="AW2" s="52" t="s">
        <v>14</v>
      </c>
      <c r="AX2" s="52" t="s">
        <v>44</v>
      </c>
      <c r="AY2" s="52" t="s">
        <v>14</v>
      </c>
      <c r="AZ2" s="52" t="s">
        <v>413</v>
      </c>
      <c r="BA2" s="52" t="s">
        <v>29</v>
      </c>
      <c r="BB2" s="52" t="s">
        <v>45</v>
      </c>
      <c r="BC2" s="52" t="s">
        <v>46</v>
      </c>
      <c r="BD2" s="52" t="s">
        <v>48</v>
      </c>
      <c r="BE2" s="52" t="s">
        <v>47</v>
      </c>
      <c r="BF2" s="52" t="s">
        <v>49</v>
      </c>
      <c r="BG2" s="52" t="s">
        <v>50</v>
      </c>
      <c r="BH2" s="52" t="s">
        <v>51</v>
      </c>
      <c r="BI2" s="52" t="s">
        <v>52</v>
      </c>
      <c r="BL2" s="27" t="s">
        <v>53</v>
      </c>
      <c r="BM2" s="27"/>
      <c r="BN2" s="56" t="s">
        <v>429</v>
      </c>
      <c r="BO2" s="56" t="s">
        <v>479</v>
      </c>
      <c r="BP2" s="27"/>
    </row>
    <row r="3" spans="1:68" ht="12.75">
      <c r="A3" s="20"/>
      <c r="B3" s="52" t="s">
        <v>55</v>
      </c>
      <c r="C3" s="52" t="s">
        <v>477</v>
      </c>
      <c r="D3" s="52"/>
      <c r="E3" s="52" t="s">
        <v>29</v>
      </c>
      <c r="F3" s="52"/>
      <c r="G3" s="52" t="s">
        <v>57</v>
      </c>
      <c r="H3" s="52" t="s">
        <v>56</v>
      </c>
      <c r="I3" s="52" t="s">
        <v>70</v>
      </c>
      <c r="J3" s="52" t="s">
        <v>29</v>
      </c>
      <c r="K3" s="52"/>
      <c r="L3" s="52" t="s">
        <v>57</v>
      </c>
      <c r="M3" s="52" t="s">
        <v>58</v>
      </c>
      <c r="N3" s="52"/>
      <c r="O3" s="52"/>
      <c r="P3" s="53" t="s">
        <v>442</v>
      </c>
      <c r="Q3" s="52" t="s">
        <v>59</v>
      </c>
      <c r="R3" s="52" t="s">
        <v>415</v>
      </c>
      <c r="S3" s="52" t="s">
        <v>29</v>
      </c>
      <c r="T3" s="52" t="s">
        <v>57</v>
      </c>
      <c r="U3" s="52" t="s">
        <v>66</v>
      </c>
      <c r="V3" s="52" t="s">
        <v>287</v>
      </c>
      <c r="W3" s="52" t="s">
        <v>419</v>
      </c>
      <c r="X3" s="52" t="s">
        <v>444</v>
      </c>
      <c r="Y3" s="52" t="s">
        <v>82</v>
      </c>
      <c r="Z3" s="52" t="s">
        <v>434</v>
      </c>
      <c r="AA3" s="52"/>
      <c r="AB3" s="52" t="s">
        <v>78</v>
      </c>
      <c r="AC3" s="52" t="s">
        <v>61</v>
      </c>
      <c r="AD3" s="52" t="s">
        <v>62</v>
      </c>
      <c r="AE3" s="52" t="s">
        <v>65</v>
      </c>
      <c r="AF3" s="52"/>
      <c r="AG3" s="52" t="s">
        <v>63</v>
      </c>
      <c r="AH3" s="52" t="s">
        <v>64</v>
      </c>
      <c r="AI3" s="52" t="s">
        <v>68</v>
      </c>
      <c r="AJ3" s="52" t="s">
        <v>67</v>
      </c>
      <c r="AK3" s="52"/>
      <c r="AL3" s="52" t="s">
        <v>70</v>
      </c>
      <c r="AM3" s="52" t="s">
        <v>69</v>
      </c>
      <c r="AN3" s="52" t="s">
        <v>72</v>
      </c>
      <c r="AO3" s="52" t="s">
        <v>71</v>
      </c>
      <c r="AP3" s="52" t="s">
        <v>439</v>
      </c>
      <c r="AQ3" s="52" t="s">
        <v>60</v>
      </c>
      <c r="AR3" s="52" t="s">
        <v>29</v>
      </c>
      <c r="AS3" s="52" t="s">
        <v>74</v>
      </c>
      <c r="AT3" s="52" t="s">
        <v>75</v>
      </c>
      <c r="AU3" s="52" t="s">
        <v>73</v>
      </c>
      <c r="AV3" s="52" t="s">
        <v>76</v>
      </c>
      <c r="AW3" s="52" t="s">
        <v>435</v>
      </c>
      <c r="AX3" s="52" t="s">
        <v>77</v>
      </c>
      <c r="AY3" s="52" t="s">
        <v>79</v>
      </c>
      <c r="AZ3" s="52" t="s">
        <v>81</v>
      </c>
      <c r="BA3" s="52" t="s">
        <v>80</v>
      </c>
      <c r="BB3" s="52" t="s">
        <v>83</v>
      </c>
      <c r="BC3" s="52" t="s">
        <v>84</v>
      </c>
      <c r="BD3" s="52" t="s">
        <v>86</v>
      </c>
      <c r="BE3" s="52" t="s">
        <v>85</v>
      </c>
      <c r="BF3" s="52" t="s">
        <v>87</v>
      </c>
      <c r="BG3" s="52" t="s">
        <v>88</v>
      </c>
      <c r="BH3" s="52" t="s">
        <v>89</v>
      </c>
      <c r="BI3" s="52" t="s">
        <v>90</v>
      </c>
      <c r="BL3" s="27" t="s">
        <v>91</v>
      </c>
      <c r="BM3" s="27"/>
      <c r="BN3" s="56" t="s">
        <v>428</v>
      </c>
      <c r="BO3" s="56" t="s">
        <v>428</v>
      </c>
      <c r="BP3" s="27"/>
    </row>
    <row r="4" spans="1:68" ht="12.75">
      <c r="A4" s="48"/>
      <c r="B4" s="54" t="s">
        <v>92</v>
      </c>
      <c r="C4" s="54" t="s">
        <v>93</v>
      </c>
      <c r="D4" s="54" t="s">
        <v>94</v>
      </c>
      <c r="E4" s="54" t="s">
        <v>95</v>
      </c>
      <c r="F4" s="54" t="s">
        <v>96</v>
      </c>
      <c r="G4" s="54" t="s">
        <v>97</v>
      </c>
      <c r="H4" s="54" t="s">
        <v>98</v>
      </c>
      <c r="I4" s="54" t="s">
        <v>99</v>
      </c>
      <c r="J4" s="54" t="s">
        <v>283</v>
      </c>
      <c r="K4" s="54" t="s">
        <v>284</v>
      </c>
      <c r="L4" s="54" t="s">
        <v>285</v>
      </c>
      <c r="M4" s="54" t="s">
        <v>100</v>
      </c>
      <c r="N4" s="54" t="s">
        <v>101</v>
      </c>
      <c r="O4" s="54" t="s">
        <v>102</v>
      </c>
      <c r="P4" s="54" t="s">
        <v>103</v>
      </c>
      <c r="Q4" s="54" t="s">
        <v>104</v>
      </c>
      <c r="R4" s="54" t="s">
        <v>105</v>
      </c>
      <c r="S4" s="54" t="s">
        <v>106</v>
      </c>
      <c r="T4" s="54" t="s">
        <v>107</v>
      </c>
      <c r="U4" s="54" t="s">
        <v>108</v>
      </c>
      <c r="V4" s="54" t="s">
        <v>109</v>
      </c>
      <c r="W4" s="54" t="s">
        <v>110</v>
      </c>
      <c r="X4" s="54" t="s">
        <v>111</v>
      </c>
      <c r="Y4" s="54" t="s">
        <v>112</v>
      </c>
      <c r="Z4" s="54" t="s">
        <v>113</v>
      </c>
      <c r="AA4" s="54" t="s">
        <v>498</v>
      </c>
      <c r="AB4" s="54" t="s">
        <v>114</v>
      </c>
      <c r="AC4" s="54" t="s">
        <v>115</v>
      </c>
      <c r="AD4" s="54" t="s">
        <v>116</v>
      </c>
      <c r="AE4" s="54" t="s">
        <v>117</v>
      </c>
      <c r="AF4" s="54" t="s">
        <v>118</v>
      </c>
      <c r="AG4" s="54" t="s">
        <v>119</v>
      </c>
      <c r="AH4" s="54" t="s">
        <v>120</v>
      </c>
      <c r="AI4" s="54" t="s">
        <v>121</v>
      </c>
      <c r="AJ4" s="54" t="s">
        <v>122</v>
      </c>
      <c r="AK4" s="54" t="s">
        <v>123</v>
      </c>
      <c r="AL4" s="54" t="s">
        <v>124</v>
      </c>
      <c r="AM4" s="54" t="s">
        <v>125</v>
      </c>
      <c r="AN4" s="54" t="s">
        <v>126</v>
      </c>
      <c r="AO4" s="54" t="s">
        <v>127</v>
      </c>
      <c r="AP4" s="54" t="s">
        <v>128</v>
      </c>
      <c r="AQ4" s="54" t="s">
        <v>129</v>
      </c>
      <c r="AR4" s="54" t="s">
        <v>130</v>
      </c>
      <c r="AS4" s="54" t="s">
        <v>131</v>
      </c>
      <c r="AT4" s="54" t="s">
        <v>132</v>
      </c>
      <c r="AU4" s="54" t="s">
        <v>133</v>
      </c>
      <c r="AV4" s="54" t="s">
        <v>134</v>
      </c>
      <c r="AW4" s="54" t="s">
        <v>135</v>
      </c>
      <c r="AX4" s="54" t="s">
        <v>136</v>
      </c>
      <c r="AY4" s="54" t="s">
        <v>137</v>
      </c>
      <c r="AZ4" s="54" t="s">
        <v>138</v>
      </c>
      <c r="BA4" s="54" t="s">
        <v>139</v>
      </c>
      <c r="BB4" s="54" t="s">
        <v>289</v>
      </c>
      <c r="BC4" s="54" t="s">
        <v>140</v>
      </c>
      <c r="BD4" s="54" t="s">
        <v>141</v>
      </c>
      <c r="BE4" s="54" t="s">
        <v>142</v>
      </c>
      <c r="BF4" s="54" t="s">
        <v>143</v>
      </c>
      <c r="BG4" s="54" t="s">
        <v>144</v>
      </c>
      <c r="BH4" s="54" t="s">
        <v>550</v>
      </c>
      <c r="BI4" s="54" t="s">
        <v>551</v>
      </c>
      <c r="BL4" s="85"/>
      <c r="BM4" s="85"/>
      <c r="BN4" s="85" t="s">
        <v>540</v>
      </c>
      <c r="BO4" s="85" t="s">
        <v>552</v>
      </c>
      <c r="BP4" s="85"/>
    </row>
    <row r="5" spans="1:68" ht="12.75">
      <c r="A5" s="23" t="s">
        <v>332</v>
      </c>
      <c r="B5" s="14"/>
      <c r="C5" s="14"/>
      <c r="D5" s="14"/>
      <c r="E5" s="15"/>
      <c r="F5" s="14"/>
      <c r="G5" s="3"/>
      <c r="H5" s="14"/>
      <c r="I5" s="15"/>
      <c r="J5" s="14"/>
      <c r="K5" s="15"/>
      <c r="L5" s="15"/>
      <c r="M5" s="15"/>
      <c r="N5" s="14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L5" s="16"/>
      <c r="BM5" s="16"/>
      <c r="BN5" s="16"/>
      <c r="BO5" s="16"/>
      <c r="BP5" s="16"/>
    </row>
    <row r="6" spans="1:68" ht="12.75">
      <c r="A6" s="22" t="s">
        <v>333</v>
      </c>
      <c r="B6" s="2">
        <f>4522483.353+136761.874</f>
        <v>4659245.227</v>
      </c>
      <c r="C6" s="2">
        <v>15975611.284</v>
      </c>
      <c r="D6" s="2">
        <v>2100403.521</v>
      </c>
      <c r="E6" s="2">
        <v>1904026.964</v>
      </c>
      <c r="F6" s="2">
        <v>1687200.276</v>
      </c>
      <c r="G6" s="2">
        <v>863853.72</v>
      </c>
      <c r="H6" s="2">
        <v>708131.705</v>
      </c>
      <c r="I6" s="2">
        <v>600283.824</v>
      </c>
      <c r="J6" s="2">
        <v>776879.217</v>
      </c>
      <c r="K6" s="2">
        <v>990368.067</v>
      </c>
      <c r="L6" s="2">
        <v>692700.497</v>
      </c>
      <c r="M6" s="2">
        <v>510241.1</v>
      </c>
      <c r="N6" s="2">
        <v>287701.778</v>
      </c>
      <c r="O6" s="2">
        <v>527374.093</v>
      </c>
      <c r="P6" s="2">
        <f>688136.955+29389.959</f>
        <v>717526.914</v>
      </c>
      <c r="Q6" s="2">
        <v>537517.479</v>
      </c>
      <c r="R6" s="2">
        <v>390906.272</v>
      </c>
      <c r="S6" s="2">
        <v>1143939.042</v>
      </c>
      <c r="T6" s="2">
        <v>365174.024</v>
      </c>
      <c r="U6" s="2">
        <v>1538120.658</v>
      </c>
      <c r="V6" s="2">
        <v>1212590.23</v>
      </c>
      <c r="W6" s="2">
        <v>283242.785</v>
      </c>
      <c r="X6" s="2">
        <v>174628.852</v>
      </c>
      <c r="Y6" s="2">
        <v>1478847</v>
      </c>
      <c r="Z6" s="2">
        <v>388897.805</v>
      </c>
      <c r="AA6" s="2">
        <v>289263.945</v>
      </c>
      <c r="AB6" s="2">
        <v>628927.745</v>
      </c>
      <c r="AC6" s="2">
        <v>193438.283</v>
      </c>
      <c r="AD6" s="2">
        <v>680123.84</v>
      </c>
      <c r="AE6" s="2">
        <v>121900.96</v>
      </c>
      <c r="AF6" s="2">
        <v>98092.853</v>
      </c>
      <c r="AG6" s="2">
        <v>18169.454</v>
      </c>
      <c r="AH6" s="2">
        <v>127677.165</v>
      </c>
      <c r="AI6" s="2">
        <v>62970.077</v>
      </c>
      <c r="AJ6" s="2">
        <v>46640.014</v>
      </c>
      <c r="AK6" s="2">
        <v>96955.145</v>
      </c>
      <c r="AL6" s="2">
        <v>82063.494</v>
      </c>
      <c r="AM6" s="2">
        <v>3826.799</v>
      </c>
      <c r="AN6" s="2">
        <v>64603.627</v>
      </c>
      <c r="AO6" s="2">
        <v>7257.518</v>
      </c>
      <c r="AP6" s="2">
        <f>53502.266+34779.89</f>
        <v>88282.156</v>
      </c>
      <c r="AQ6" s="2">
        <v>51350.961</v>
      </c>
      <c r="AR6" s="2">
        <v>383065.768</v>
      </c>
      <c r="AS6" s="2">
        <v>105201.14</v>
      </c>
      <c r="AT6" s="2">
        <v>66751.386</v>
      </c>
      <c r="AU6" s="2">
        <v>20700.582</v>
      </c>
      <c r="AV6" s="2">
        <f>144.671-956.204</f>
        <v>-811.5329999999999</v>
      </c>
      <c r="AW6" s="2">
        <f>472944.061+6189.65</f>
        <v>479133.711</v>
      </c>
      <c r="AX6" s="2">
        <v>0</v>
      </c>
      <c r="AY6" s="2">
        <v>3782.601</v>
      </c>
      <c r="AZ6" s="2">
        <v>26632.528</v>
      </c>
      <c r="BA6" s="2">
        <v>0</v>
      </c>
      <c r="BB6" s="2">
        <v>18801.387</v>
      </c>
      <c r="BC6" s="2">
        <v>0</v>
      </c>
      <c r="BD6" s="2">
        <v>13097.549</v>
      </c>
      <c r="BE6" s="2">
        <v>21720.307</v>
      </c>
      <c r="BF6" s="2">
        <v>8209.816</v>
      </c>
      <c r="BG6" s="2">
        <v>11814.776</v>
      </c>
      <c r="BH6" s="2">
        <v>0</v>
      </c>
      <c r="BI6" s="2">
        <v>0</v>
      </c>
      <c r="BL6" s="2">
        <f aca="true" t="shared" si="0" ref="BL6:BL15">SUM(B6:BJ6)</f>
        <v>44335056.38800002</v>
      </c>
      <c r="BM6" s="2"/>
      <c r="BN6" s="2">
        <f>C6+V6+AD6+AH6+AN6+AP6+AS6+AU6+AW6+AZ6+BB6+BE6+BG6+BD6</f>
        <v>18845990.281999994</v>
      </c>
      <c r="BO6" s="2">
        <f aca="true" t="shared" si="1" ref="BO6:BO15">B6+D6+E6+F6+G6+H6+I6+J6+K6+L6+M6+N6+O6+P6+Q6+R6+S6+T6+U6+W6+X6+Y6+Z6+AA6+AB6+AC6+AE6+AF6+AG6+AI6+AJ6+AK6+AL6+AM6+AO6+AQ6+AT6+AV6+AX6+AY6+BA6+BC6+BH6+BI6+AR6+BF6</f>
        <v>25489066.105999995</v>
      </c>
      <c r="BP6" s="2"/>
    </row>
    <row r="7" spans="1:68" ht="12.75">
      <c r="A7" s="22" t="s">
        <v>334</v>
      </c>
      <c r="B7" s="2">
        <v>2114250.657</v>
      </c>
      <c r="C7" s="2">
        <v>1719140.033</v>
      </c>
      <c r="D7" s="2">
        <v>1670649.773</v>
      </c>
      <c r="E7" s="2">
        <v>1861930.304</v>
      </c>
      <c r="F7" s="2">
        <v>1072862.867</v>
      </c>
      <c r="G7" s="2">
        <v>615715.425</v>
      </c>
      <c r="H7" s="2">
        <v>700599.266</v>
      </c>
      <c r="I7" s="2">
        <v>817350.988</v>
      </c>
      <c r="J7" s="2">
        <v>1142827.519</v>
      </c>
      <c r="K7" s="2">
        <v>561095.191</v>
      </c>
      <c r="L7" s="2">
        <v>415981.917</v>
      </c>
      <c r="M7" s="2">
        <v>213924.413</v>
      </c>
      <c r="N7" s="2">
        <v>369211.446</v>
      </c>
      <c r="O7" s="2">
        <v>387962.427</v>
      </c>
      <c r="P7" s="2">
        <f>303220.354+507.22</f>
        <v>303727.57399999996</v>
      </c>
      <c r="Q7" s="2">
        <v>658075.846</v>
      </c>
      <c r="R7" s="2">
        <v>255876.735</v>
      </c>
      <c r="S7" s="2">
        <v>219042.694</v>
      </c>
      <c r="T7" s="2">
        <v>333127.946</v>
      </c>
      <c r="U7" s="2">
        <v>41043.002</v>
      </c>
      <c r="V7" s="2">
        <v>208795.519</v>
      </c>
      <c r="W7" s="2">
        <v>182327.376</v>
      </c>
      <c r="X7" s="2">
        <v>169613.954</v>
      </c>
      <c r="Y7" s="2">
        <v>7246</v>
      </c>
      <c r="Z7" s="2">
        <v>76631.505</v>
      </c>
      <c r="AA7" s="2">
        <v>65178.988</v>
      </c>
      <c r="AB7" s="2">
        <v>20110.431</v>
      </c>
      <c r="AC7" s="2">
        <v>140481.377</v>
      </c>
      <c r="AD7" s="2">
        <v>167771.864</v>
      </c>
      <c r="AE7" s="2">
        <v>189498.34</v>
      </c>
      <c r="AF7" s="2">
        <v>188080.839</v>
      </c>
      <c r="AG7" s="2">
        <v>17029.901</v>
      </c>
      <c r="AH7" s="2">
        <v>29414.983</v>
      </c>
      <c r="AI7" s="2">
        <v>82714.964</v>
      </c>
      <c r="AJ7" s="2">
        <v>63534.211</v>
      </c>
      <c r="AK7" s="2">
        <v>107904.561</v>
      </c>
      <c r="AL7" s="2">
        <v>45941.278</v>
      </c>
      <c r="AM7" s="2">
        <v>6009.822</v>
      </c>
      <c r="AN7" s="2">
        <v>61887.479</v>
      </c>
      <c r="AO7" s="2">
        <v>33140.138</v>
      </c>
      <c r="AP7" s="2">
        <f>41282.996+1950.701</f>
        <v>43233.697</v>
      </c>
      <c r="AQ7" s="2">
        <v>23370.087</v>
      </c>
      <c r="AR7" s="2">
        <v>9889.637</v>
      </c>
      <c r="AS7" s="2">
        <v>20114.291</v>
      </c>
      <c r="AT7" s="2">
        <v>53722.685</v>
      </c>
      <c r="AU7" s="2">
        <v>51309.654</v>
      </c>
      <c r="AV7" s="2">
        <v>1.829</v>
      </c>
      <c r="AW7" s="2">
        <v>530.011</v>
      </c>
      <c r="AX7" s="2">
        <v>26570.383</v>
      </c>
      <c r="AY7" s="2">
        <v>17414.101</v>
      </c>
      <c r="AZ7" s="2">
        <v>24852.48</v>
      </c>
      <c r="BA7" s="2">
        <v>39897.925</v>
      </c>
      <c r="BB7" s="2">
        <v>14280.034</v>
      </c>
      <c r="BC7" s="2">
        <v>14148.553</v>
      </c>
      <c r="BD7" s="2">
        <v>6545.209</v>
      </c>
      <c r="BE7" s="2">
        <v>8133.754</v>
      </c>
      <c r="BF7" s="2">
        <v>3838.666</v>
      </c>
      <c r="BG7" s="2">
        <v>4235.9</v>
      </c>
      <c r="BH7" s="2">
        <v>683.073</v>
      </c>
      <c r="BI7" s="2">
        <v>64.156</v>
      </c>
      <c r="BL7" s="2">
        <f t="shared" si="0"/>
        <v>17700545.678000003</v>
      </c>
      <c r="BM7" s="2"/>
      <c r="BN7" s="2">
        <f aca="true" t="shared" si="2" ref="BN7:BN42">C7+V7+AD7+AH7+AN7+AP7+AS7+AU7+AW7+AZ7+BB7+BE7+BG7+BD7</f>
        <v>2360244.9080000003</v>
      </c>
      <c r="BO7" s="2">
        <f t="shared" si="1"/>
        <v>15340300.77</v>
      </c>
      <c r="BP7" s="2"/>
    </row>
    <row r="8" spans="1:68" ht="12.75">
      <c r="A8" s="22" t="s">
        <v>335</v>
      </c>
      <c r="B8" s="2">
        <v>5117.184</v>
      </c>
      <c r="C8" s="2">
        <v>0</v>
      </c>
      <c r="D8" s="2">
        <v>97819.968</v>
      </c>
      <c r="E8" s="2">
        <v>0</v>
      </c>
      <c r="F8" s="2">
        <v>0</v>
      </c>
      <c r="G8" s="2">
        <v>3652.362</v>
      </c>
      <c r="H8" s="2">
        <v>0</v>
      </c>
      <c r="I8" s="2">
        <v>0</v>
      </c>
      <c r="J8" s="2">
        <v>0</v>
      </c>
      <c r="K8" s="2">
        <v>0</v>
      </c>
      <c r="L8" s="2">
        <v>7004.987</v>
      </c>
      <c r="M8" s="2">
        <v>0</v>
      </c>
      <c r="N8" s="2">
        <v>91126.357</v>
      </c>
      <c r="O8" s="2">
        <v>0</v>
      </c>
      <c r="P8" s="2">
        <v>2076.848</v>
      </c>
      <c r="Q8" s="2">
        <v>4049.151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9135.057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4961.417</v>
      </c>
      <c r="AF8" s="2">
        <v>0</v>
      </c>
      <c r="AG8" s="2">
        <v>0</v>
      </c>
      <c r="AH8" s="2">
        <v>0</v>
      </c>
      <c r="AI8" s="2">
        <v>1039.631</v>
      </c>
      <c r="AJ8" s="2">
        <v>0</v>
      </c>
      <c r="AK8" s="2">
        <v>499.037</v>
      </c>
      <c r="AL8" s="2">
        <v>0</v>
      </c>
      <c r="AM8" s="2">
        <v>0</v>
      </c>
      <c r="AN8" s="2">
        <v>5364.092</v>
      </c>
      <c r="AO8" s="2">
        <v>0</v>
      </c>
      <c r="AP8" s="2">
        <v>0</v>
      </c>
      <c r="AQ8" s="2">
        <v>0</v>
      </c>
      <c r="AR8" s="2">
        <v>0</v>
      </c>
      <c r="AS8" s="2">
        <v>0</v>
      </c>
      <c r="AT8" s="2">
        <v>1276.409</v>
      </c>
      <c r="AU8" s="2">
        <v>0</v>
      </c>
      <c r="AV8" s="2">
        <v>0</v>
      </c>
      <c r="AW8" s="2">
        <v>0</v>
      </c>
      <c r="AX8" s="2">
        <v>0</v>
      </c>
      <c r="AY8" s="2">
        <v>0</v>
      </c>
      <c r="AZ8" s="2">
        <v>0</v>
      </c>
      <c r="BA8" s="2">
        <v>139.855</v>
      </c>
      <c r="BB8" s="2">
        <v>0</v>
      </c>
      <c r="BC8" s="2">
        <v>0</v>
      </c>
      <c r="BD8" s="2">
        <v>0</v>
      </c>
      <c r="BE8" s="2">
        <v>0</v>
      </c>
      <c r="BF8" s="2">
        <v>0</v>
      </c>
      <c r="BG8" s="2">
        <v>0</v>
      </c>
      <c r="BH8" s="2">
        <v>0</v>
      </c>
      <c r="BI8" s="2">
        <v>0</v>
      </c>
      <c r="BL8" s="2">
        <f t="shared" si="0"/>
        <v>233262.355</v>
      </c>
      <c r="BM8" s="2"/>
      <c r="BN8" s="2">
        <f t="shared" si="2"/>
        <v>5364.092</v>
      </c>
      <c r="BO8" s="2">
        <f t="shared" si="1"/>
        <v>227898.263</v>
      </c>
      <c r="BP8" s="2"/>
    </row>
    <row r="9" spans="1:68" ht="12.75">
      <c r="A9" s="22" t="s">
        <v>336</v>
      </c>
      <c r="B9" s="2">
        <v>4812100.188</v>
      </c>
      <c r="C9" s="2">
        <v>2731569.451</v>
      </c>
      <c r="D9" s="2">
        <v>2750410.958</v>
      </c>
      <c r="E9" s="2">
        <v>3079551.494</v>
      </c>
      <c r="F9" s="2">
        <v>2107956.139</v>
      </c>
      <c r="G9" s="2">
        <v>571404.714</v>
      </c>
      <c r="H9" s="2">
        <v>1390736.572</v>
      </c>
      <c r="I9" s="2">
        <v>255189.95</v>
      </c>
      <c r="J9" s="2">
        <v>798939.254</v>
      </c>
      <c r="K9" s="2">
        <v>754569.298</v>
      </c>
      <c r="L9" s="2">
        <v>2784247.22</v>
      </c>
      <c r="M9" s="2">
        <v>953146.808</v>
      </c>
      <c r="N9" s="2">
        <v>830148.335</v>
      </c>
      <c r="O9" s="2">
        <v>630399.991</v>
      </c>
      <c r="P9" s="2">
        <v>253475.497</v>
      </c>
      <c r="Q9" s="2">
        <v>397389.033</v>
      </c>
      <c r="R9" s="2">
        <v>458828.766</v>
      </c>
      <c r="S9" s="2">
        <v>829211.12</v>
      </c>
      <c r="T9" s="2">
        <v>488922.153</v>
      </c>
      <c r="U9" s="2">
        <v>90219.922</v>
      </c>
      <c r="V9" s="2">
        <v>322105.219</v>
      </c>
      <c r="W9" s="2">
        <v>2309298.755</v>
      </c>
      <c r="X9" s="2">
        <v>586975.137</v>
      </c>
      <c r="Y9" s="2">
        <v>186476</v>
      </c>
      <c r="Z9" s="2">
        <v>161937.27</v>
      </c>
      <c r="AA9" s="2">
        <v>362619.969</v>
      </c>
      <c r="AB9" s="2">
        <v>2308840.761</v>
      </c>
      <c r="AC9" s="2">
        <v>124523.699</v>
      </c>
      <c r="AD9" s="2">
        <v>209574.312</v>
      </c>
      <c r="AE9" s="2">
        <v>182740.203</v>
      </c>
      <c r="AF9" s="2">
        <v>187877.296</v>
      </c>
      <c r="AG9" s="2">
        <v>341281.629</v>
      </c>
      <c r="AH9" s="2">
        <v>149846.48</v>
      </c>
      <c r="AI9" s="2">
        <v>527001.072</v>
      </c>
      <c r="AJ9" s="2">
        <v>68084.17</v>
      </c>
      <c r="AK9" s="2">
        <v>55541.112</v>
      </c>
      <c r="AL9" s="2">
        <v>43788.819</v>
      </c>
      <c r="AM9" s="2">
        <v>113344.172</v>
      </c>
      <c r="AN9" s="2">
        <v>141573.874</v>
      </c>
      <c r="AO9" s="2">
        <v>67584.012</v>
      </c>
      <c r="AP9" s="2">
        <f>78908.644+5813.029</f>
        <v>84721.673</v>
      </c>
      <c r="AQ9" s="2">
        <v>250413.635</v>
      </c>
      <c r="AR9" s="2">
        <v>8368.758</v>
      </c>
      <c r="AS9" s="2">
        <v>145716.954</v>
      </c>
      <c r="AT9" s="2">
        <v>76405.477</v>
      </c>
      <c r="AU9" s="2">
        <v>124277.642</v>
      </c>
      <c r="AV9" s="2">
        <v>0</v>
      </c>
      <c r="AW9" s="2">
        <v>402.985</v>
      </c>
      <c r="AX9" s="2">
        <v>22306.825</v>
      </c>
      <c r="AY9" s="2">
        <v>12185.063</v>
      </c>
      <c r="AZ9" s="2">
        <v>18983.666</v>
      </c>
      <c r="BA9" s="2">
        <v>38193.447</v>
      </c>
      <c r="BB9" s="2">
        <v>21911.834</v>
      </c>
      <c r="BC9" s="2">
        <v>14995.269</v>
      </c>
      <c r="BD9" s="2">
        <v>14216.422</v>
      </c>
      <c r="BE9" s="2">
        <v>16913.056</v>
      </c>
      <c r="BF9" s="2">
        <v>4858.165</v>
      </c>
      <c r="BG9" s="2">
        <v>4887.478</v>
      </c>
      <c r="BH9" s="2">
        <v>0</v>
      </c>
      <c r="BI9" s="2">
        <v>1804.721</v>
      </c>
      <c r="BL9" s="2">
        <f t="shared" si="0"/>
        <v>36280993.893999994</v>
      </c>
      <c r="BM9" s="2"/>
      <c r="BN9" s="2">
        <f t="shared" si="2"/>
        <v>3986701.045999999</v>
      </c>
      <c r="BO9" s="2">
        <f t="shared" si="1"/>
        <v>32294292.848000005</v>
      </c>
      <c r="BP9" s="2"/>
    </row>
    <row r="10" spans="1:68" ht="12.75">
      <c r="A10" s="22" t="s">
        <v>381</v>
      </c>
      <c r="B10" s="2">
        <v>1217649.751</v>
      </c>
      <c r="C10" s="2">
        <v>49811.237</v>
      </c>
      <c r="D10" s="2">
        <v>2379007.665</v>
      </c>
      <c r="E10" s="2">
        <v>12101458.905</v>
      </c>
      <c r="F10" s="2">
        <v>1492143.635</v>
      </c>
      <c r="G10" s="2">
        <v>0</v>
      </c>
      <c r="H10" s="2">
        <v>444171.15</v>
      </c>
      <c r="I10" s="2">
        <v>5000930.691</v>
      </c>
      <c r="J10" s="2">
        <v>793778.525</v>
      </c>
      <c r="K10" s="2">
        <v>640281.401</v>
      </c>
      <c r="L10" s="2">
        <v>1428038.556</v>
      </c>
      <c r="M10" s="2">
        <v>522740.343</v>
      </c>
      <c r="N10" s="2">
        <v>2242676.811</v>
      </c>
      <c r="O10" s="2">
        <v>1499101.925</v>
      </c>
      <c r="P10" s="2">
        <v>18388.43</v>
      </c>
      <c r="Q10" s="2">
        <v>3906641.853</v>
      </c>
      <c r="R10" s="2">
        <v>531393.913</v>
      </c>
      <c r="S10" s="2">
        <v>115063.455</v>
      </c>
      <c r="T10" s="2">
        <v>322157.005</v>
      </c>
      <c r="U10" s="2">
        <v>2415820.853</v>
      </c>
      <c r="V10" s="2">
        <v>0</v>
      </c>
      <c r="W10" s="2">
        <v>53132.842</v>
      </c>
      <c r="X10" s="2">
        <v>96926.183</v>
      </c>
      <c r="Y10" s="2">
        <v>1737919</v>
      </c>
      <c r="Z10" s="2">
        <v>700804.019</v>
      </c>
      <c r="AA10" s="2">
        <v>651893.002</v>
      </c>
      <c r="AB10" s="2">
        <v>691369.014</v>
      </c>
      <c r="AC10" s="2">
        <v>110317.56</v>
      </c>
      <c r="AD10" s="2">
        <v>0</v>
      </c>
      <c r="AE10" s="2">
        <v>1358031.002</v>
      </c>
      <c r="AF10" s="2">
        <v>71595.071</v>
      </c>
      <c r="AG10" s="2">
        <v>0</v>
      </c>
      <c r="AH10" s="2">
        <v>284282.945</v>
      </c>
      <c r="AI10" s="2">
        <v>230242.656</v>
      </c>
      <c r="AJ10" s="2">
        <v>195047.939</v>
      </c>
      <c r="AK10" s="2">
        <v>0</v>
      </c>
      <c r="AL10" s="2">
        <v>92843.712</v>
      </c>
      <c r="AM10" s="2">
        <v>269619.646</v>
      </c>
      <c r="AN10" s="2">
        <v>3676.602</v>
      </c>
      <c r="AO10" s="2">
        <v>34698.003</v>
      </c>
      <c r="AP10" s="2">
        <v>0</v>
      </c>
      <c r="AQ10" s="2">
        <v>276322.441</v>
      </c>
      <c r="AR10" s="2">
        <v>110177.2</v>
      </c>
      <c r="AS10" s="2">
        <v>23182.58</v>
      </c>
      <c r="AT10" s="2">
        <v>11912.912</v>
      </c>
      <c r="AU10" s="2">
        <v>0</v>
      </c>
      <c r="AV10" s="2">
        <v>117570.6</v>
      </c>
      <c r="AW10" s="2">
        <v>0</v>
      </c>
      <c r="AX10" s="2">
        <v>22661.81</v>
      </c>
      <c r="AY10" s="2">
        <v>22280.611</v>
      </c>
      <c r="AZ10" s="2">
        <v>0</v>
      </c>
      <c r="BA10" s="2">
        <v>0</v>
      </c>
      <c r="BB10" s="2">
        <v>0</v>
      </c>
      <c r="BC10" s="2">
        <v>26585.51</v>
      </c>
      <c r="BD10" s="2">
        <v>0</v>
      </c>
      <c r="BE10" s="2">
        <v>0</v>
      </c>
      <c r="BF10" s="2">
        <v>0</v>
      </c>
      <c r="BG10" s="2">
        <v>0</v>
      </c>
      <c r="BH10" s="2">
        <v>0</v>
      </c>
      <c r="BI10" s="2">
        <v>0</v>
      </c>
      <c r="BL10" s="2">
        <f t="shared" si="0"/>
        <v>44314348.964</v>
      </c>
      <c r="BM10" s="2"/>
      <c r="BN10" s="2">
        <f t="shared" si="2"/>
        <v>360953.36400000006</v>
      </c>
      <c r="BO10" s="2">
        <f t="shared" si="1"/>
        <v>43953395.60000001</v>
      </c>
      <c r="BP10" s="2"/>
    </row>
    <row r="11" spans="1:68" ht="12.75">
      <c r="A11" s="22" t="s">
        <v>382</v>
      </c>
      <c r="B11" s="2">
        <v>2287266.267</v>
      </c>
      <c r="C11" s="2">
        <v>674781.997</v>
      </c>
      <c r="D11" s="2">
        <v>2585167.775</v>
      </c>
      <c r="E11" s="2">
        <v>0</v>
      </c>
      <c r="F11" s="2">
        <v>1925680.751</v>
      </c>
      <c r="G11" s="2">
        <v>0</v>
      </c>
      <c r="H11" s="2">
        <v>149669.7</v>
      </c>
      <c r="I11" s="2">
        <v>1673782.236</v>
      </c>
      <c r="J11" s="2">
        <v>0</v>
      </c>
      <c r="K11" s="2">
        <v>1719351.054</v>
      </c>
      <c r="L11" s="2">
        <v>0</v>
      </c>
      <c r="M11" s="2">
        <v>760356.393</v>
      </c>
      <c r="N11" s="2">
        <v>780436.507</v>
      </c>
      <c r="O11" s="2">
        <v>1480119.449</v>
      </c>
      <c r="P11" s="2">
        <v>0</v>
      </c>
      <c r="Q11" s="2">
        <v>199110.28</v>
      </c>
      <c r="R11" s="2">
        <v>349933.382</v>
      </c>
      <c r="S11" s="2">
        <v>926749.085</v>
      </c>
      <c r="T11" s="2">
        <v>320541.328</v>
      </c>
      <c r="U11" s="2">
        <v>19778.75</v>
      </c>
      <c r="V11" s="2">
        <v>8544.2</v>
      </c>
      <c r="W11" s="2">
        <v>294881.45</v>
      </c>
      <c r="X11" s="2">
        <v>812515.721</v>
      </c>
      <c r="Y11" s="2">
        <v>263973</v>
      </c>
      <c r="Z11" s="2">
        <v>0</v>
      </c>
      <c r="AA11" s="2">
        <v>1732464.038</v>
      </c>
      <c r="AB11" s="2">
        <v>921635.855</v>
      </c>
      <c r="AC11" s="2">
        <v>51594.25</v>
      </c>
      <c r="AD11" s="2">
        <v>0</v>
      </c>
      <c r="AE11" s="2">
        <v>21457.764</v>
      </c>
      <c r="AF11" s="2">
        <v>0</v>
      </c>
      <c r="AG11" s="2">
        <v>0</v>
      </c>
      <c r="AH11" s="2">
        <v>0</v>
      </c>
      <c r="AI11" s="2">
        <v>0</v>
      </c>
      <c r="AJ11" s="2">
        <v>162728.458</v>
      </c>
      <c r="AK11" s="2">
        <v>0</v>
      </c>
      <c r="AL11" s="2">
        <v>0</v>
      </c>
      <c r="AM11" s="2">
        <v>119569.9</v>
      </c>
      <c r="AN11" s="2">
        <v>2462.702</v>
      </c>
      <c r="AO11" s="2">
        <v>340011.962</v>
      </c>
      <c r="AP11" s="2">
        <v>0</v>
      </c>
      <c r="AQ11" s="2">
        <v>301650.739</v>
      </c>
      <c r="AR11" s="2">
        <v>196950.77</v>
      </c>
      <c r="AS11" s="2">
        <v>26536.528</v>
      </c>
      <c r="AT11" s="2">
        <v>4462.7</v>
      </c>
      <c r="AU11" s="2">
        <v>0</v>
      </c>
      <c r="AV11" s="2">
        <v>195460.578</v>
      </c>
      <c r="AW11" s="2">
        <v>0</v>
      </c>
      <c r="AX11" s="2">
        <v>115451.936</v>
      </c>
      <c r="AY11" s="2">
        <v>78563.077</v>
      </c>
      <c r="AZ11" s="2">
        <v>38119.934</v>
      </c>
      <c r="BA11" s="2">
        <v>0</v>
      </c>
      <c r="BB11" s="2">
        <v>0</v>
      </c>
      <c r="BC11" s="2">
        <v>4475.505</v>
      </c>
      <c r="BD11" s="2">
        <v>0</v>
      </c>
      <c r="BE11" s="2">
        <v>0</v>
      </c>
      <c r="BF11" s="2">
        <v>0</v>
      </c>
      <c r="BG11" s="2">
        <v>0</v>
      </c>
      <c r="BH11" s="2">
        <v>37050.4</v>
      </c>
      <c r="BI11" s="2">
        <v>0</v>
      </c>
      <c r="BL11" s="2">
        <f t="shared" si="0"/>
        <v>21583286.42099999</v>
      </c>
      <c r="BM11" s="2"/>
      <c r="BN11" s="2">
        <f t="shared" si="2"/>
        <v>750445.361</v>
      </c>
      <c r="BO11" s="2">
        <f t="shared" si="1"/>
        <v>20832841.059999995</v>
      </c>
      <c r="BP11" s="2"/>
    </row>
    <row r="12" spans="1:68" ht="12.75">
      <c r="A12" s="22" t="s">
        <v>466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162000</v>
      </c>
      <c r="S12" s="2">
        <v>0</v>
      </c>
      <c r="T12" s="2">
        <v>6731.536</v>
      </c>
      <c r="U12" s="2">
        <v>0</v>
      </c>
      <c r="V12" s="2">
        <v>0</v>
      </c>
      <c r="W12" s="2">
        <v>0</v>
      </c>
      <c r="X12" s="2">
        <v>10000</v>
      </c>
      <c r="Y12" s="2">
        <v>0</v>
      </c>
      <c r="Z12" s="2">
        <v>0</v>
      </c>
      <c r="AA12" s="2">
        <v>217778.82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2">
        <v>0</v>
      </c>
      <c r="AK12" s="2">
        <v>0</v>
      </c>
      <c r="AL12" s="2">
        <v>0</v>
      </c>
      <c r="AM12" s="2">
        <v>0</v>
      </c>
      <c r="AN12" s="2">
        <v>0</v>
      </c>
      <c r="AO12" s="2">
        <v>0</v>
      </c>
      <c r="AP12" s="2">
        <v>0</v>
      </c>
      <c r="AQ12" s="2">
        <v>0</v>
      </c>
      <c r="AR12" s="2">
        <v>0</v>
      </c>
      <c r="AS12" s="2">
        <v>0</v>
      </c>
      <c r="AT12" s="2">
        <v>0</v>
      </c>
      <c r="AU12" s="2">
        <v>0</v>
      </c>
      <c r="AV12" s="2">
        <v>0</v>
      </c>
      <c r="AW12" s="2">
        <v>0</v>
      </c>
      <c r="AX12" s="2">
        <v>0</v>
      </c>
      <c r="AY12" s="2">
        <v>0</v>
      </c>
      <c r="AZ12" s="2">
        <v>0</v>
      </c>
      <c r="BA12" s="2">
        <v>0</v>
      </c>
      <c r="BB12" s="2">
        <v>0</v>
      </c>
      <c r="BC12" s="2">
        <v>0</v>
      </c>
      <c r="BD12" s="2">
        <v>0</v>
      </c>
      <c r="BE12" s="2">
        <v>0</v>
      </c>
      <c r="BF12" s="2">
        <v>0</v>
      </c>
      <c r="BG12" s="2">
        <v>0</v>
      </c>
      <c r="BH12" s="2">
        <v>0</v>
      </c>
      <c r="BI12" s="2">
        <v>0</v>
      </c>
      <c r="BL12" s="2">
        <f t="shared" si="0"/>
        <v>396510.356</v>
      </c>
      <c r="BM12" s="2"/>
      <c r="BN12" s="2">
        <f t="shared" si="2"/>
        <v>0</v>
      </c>
      <c r="BO12" s="2">
        <f t="shared" si="1"/>
        <v>396510.356</v>
      </c>
      <c r="BP12" s="2"/>
    </row>
    <row r="13" spans="1:68" ht="12.75">
      <c r="A13" s="22" t="s">
        <v>337</v>
      </c>
      <c r="B13" s="2">
        <v>5342.4</v>
      </c>
      <c r="C13" s="2">
        <v>0</v>
      </c>
      <c r="D13" s="2">
        <v>28530.466</v>
      </c>
      <c r="E13" s="2">
        <v>0</v>
      </c>
      <c r="F13" s="2">
        <v>5401.776</v>
      </c>
      <c r="G13" s="2">
        <v>0</v>
      </c>
      <c r="H13" s="2">
        <v>0</v>
      </c>
      <c r="I13" s="2">
        <v>0</v>
      </c>
      <c r="J13" s="2">
        <v>38644.07</v>
      </c>
      <c r="K13" s="2">
        <v>70373.887</v>
      </c>
      <c r="L13" s="2">
        <v>0</v>
      </c>
      <c r="M13" s="2">
        <v>993.569</v>
      </c>
      <c r="N13" s="2">
        <v>0</v>
      </c>
      <c r="O13" s="2">
        <v>99973.15</v>
      </c>
      <c r="P13" s="2">
        <v>8335.383</v>
      </c>
      <c r="Q13" s="2">
        <v>0</v>
      </c>
      <c r="R13" s="2">
        <v>0</v>
      </c>
      <c r="S13" s="2">
        <v>2339.118</v>
      </c>
      <c r="T13" s="2">
        <v>492.392</v>
      </c>
      <c r="U13" s="2">
        <v>0</v>
      </c>
      <c r="V13" s="2">
        <v>0</v>
      </c>
      <c r="W13" s="2">
        <v>730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4960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3162.852</v>
      </c>
      <c r="AU13" s="2">
        <v>0</v>
      </c>
      <c r="AV13" s="2">
        <v>0</v>
      </c>
      <c r="AW13" s="2">
        <v>0</v>
      </c>
      <c r="AX13" s="2">
        <v>0</v>
      </c>
      <c r="AY13" s="2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2">
        <v>0</v>
      </c>
      <c r="BG13" s="2">
        <v>0</v>
      </c>
      <c r="BH13" s="2">
        <v>0</v>
      </c>
      <c r="BI13" s="2">
        <v>0</v>
      </c>
      <c r="BL13" s="2">
        <f t="shared" si="0"/>
        <v>269279.06299999997</v>
      </c>
      <c r="BM13" s="2"/>
      <c r="BN13" s="2">
        <f t="shared" si="2"/>
        <v>0</v>
      </c>
      <c r="BO13" s="2">
        <f t="shared" si="1"/>
        <v>269279.06299999997</v>
      </c>
      <c r="BP13" s="2"/>
    </row>
    <row r="14" spans="1:68" ht="12.75">
      <c r="A14" s="22" t="s">
        <v>338</v>
      </c>
      <c r="B14" s="2">
        <v>1018498.776</v>
      </c>
      <c r="C14" s="2">
        <v>0</v>
      </c>
      <c r="D14" s="2">
        <v>1635000</v>
      </c>
      <c r="E14" s="2">
        <v>0</v>
      </c>
      <c r="F14" s="2">
        <v>36867.203</v>
      </c>
      <c r="G14" s="2">
        <v>0</v>
      </c>
      <c r="H14" s="2">
        <v>0</v>
      </c>
      <c r="I14" s="2">
        <v>734322.828</v>
      </c>
      <c r="J14" s="2">
        <v>12991.44</v>
      </c>
      <c r="K14" s="2">
        <v>95676.149</v>
      </c>
      <c r="L14" s="2">
        <v>4896.337</v>
      </c>
      <c r="M14" s="2">
        <v>144.118</v>
      </c>
      <c r="N14" s="2">
        <v>0</v>
      </c>
      <c r="O14" s="2">
        <v>1603.735</v>
      </c>
      <c r="P14" s="2">
        <f>2004.114+1863.718</f>
        <v>3867.8320000000003</v>
      </c>
      <c r="Q14" s="2">
        <v>997.116</v>
      </c>
      <c r="R14" s="2">
        <v>406.767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153.499</v>
      </c>
      <c r="Y14" s="2">
        <v>2070</v>
      </c>
      <c r="Z14" s="2">
        <v>11378.459</v>
      </c>
      <c r="AA14" s="2">
        <v>1490.888</v>
      </c>
      <c r="AB14" s="2">
        <v>193493.929</v>
      </c>
      <c r="AC14" s="2">
        <v>0</v>
      </c>
      <c r="AD14" s="2">
        <v>0</v>
      </c>
      <c r="AE14" s="2">
        <v>26917.654</v>
      </c>
      <c r="AF14" s="2">
        <v>0</v>
      </c>
      <c r="AG14" s="2">
        <v>0</v>
      </c>
      <c r="AH14" s="2">
        <v>0</v>
      </c>
      <c r="AI14" s="2">
        <v>0</v>
      </c>
      <c r="AJ14" s="2">
        <f>10011.978+1254.212</f>
        <v>11266.189999999999</v>
      </c>
      <c r="AK14" s="2">
        <v>0</v>
      </c>
      <c r="AL14" s="2">
        <v>0</v>
      </c>
      <c r="AM14" s="2">
        <v>86073.399</v>
      </c>
      <c r="AN14" s="2">
        <v>51108.351</v>
      </c>
      <c r="AO14" s="2">
        <f>1418.755+1511.257</f>
        <v>2930.012</v>
      </c>
      <c r="AP14" s="2">
        <v>1231.65</v>
      </c>
      <c r="AQ14" s="2">
        <v>676.103</v>
      </c>
      <c r="AR14" s="2">
        <v>14565.557</v>
      </c>
      <c r="AS14" s="2">
        <v>0</v>
      </c>
      <c r="AT14" s="2">
        <v>1535.313</v>
      </c>
      <c r="AU14" s="2">
        <v>0</v>
      </c>
      <c r="AV14" s="2">
        <v>129.473</v>
      </c>
      <c r="AW14" s="2">
        <v>0</v>
      </c>
      <c r="AX14" s="2">
        <v>538.744</v>
      </c>
      <c r="AY14" s="2">
        <v>5475.154</v>
      </c>
      <c r="AZ14" s="2">
        <v>0</v>
      </c>
      <c r="BA14" s="2">
        <v>0</v>
      </c>
      <c r="BB14" s="2">
        <v>246.365</v>
      </c>
      <c r="BC14" s="2">
        <v>0</v>
      </c>
      <c r="BD14" s="2">
        <v>5958.762</v>
      </c>
      <c r="BE14" s="2">
        <f>48204.608+93.444</f>
        <v>48298.052</v>
      </c>
      <c r="BF14" s="2">
        <v>0</v>
      </c>
      <c r="BG14" s="2">
        <v>0</v>
      </c>
      <c r="BH14" s="2">
        <v>2405.344</v>
      </c>
      <c r="BI14" s="2">
        <v>0</v>
      </c>
      <c r="BL14" s="2">
        <f t="shared" si="0"/>
        <v>4013215.199</v>
      </c>
      <c r="BM14" s="2"/>
      <c r="BN14" s="2">
        <f t="shared" si="2"/>
        <v>106843.18000000001</v>
      </c>
      <c r="BO14" s="2">
        <f t="shared" si="1"/>
        <v>3906372.019</v>
      </c>
      <c r="BP14" s="2"/>
    </row>
    <row r="15" spans="1:68" ht="12.75">
      <c r="A15" s="50" t="s">
        <v>339</v>
      </c>
      <c r="B15" s="41">
        <f>SUM(B6:B14)</f>
        <v>16119470.450000001</v>
      </c>
      <c r="C15" s="41">
        <f>SUM(C6:C14)</f>
        <v>21150914.002000004</v>
      </c>
      <c r="D15" s="41">
        <f aca="true" t="shared" si="3" ref="D15:BE15">SUM(D6:D14)</f>
        <v>13246990.126000002</v>
      </c>
      <c r="E15" s="41">
        <f>SUM(E6:E14)</f>
        <v>18946967.667</v>
      </c>
      <c r="F15" s="41">
        <f t="shared" si="3"/>
        <v>8328112.646999999</v>
      </c>
      <c r="G15" s="41">
        <f t="shared" si="3"/>
        <v>2054626.221</v>
      </c>
      <c r="H15" s="41">
        <f t="shared" si="3"/>
        <v>3393308.3929999997</v>
      </c>
      <c r="I15" s="41">
        <f t="shared" si="3"/>
        <v>9081860.516999999</v>
      </c>
      <c r="J15" s="41">
        <f t="shared" si="3"/>
        <v>3564060.025</v>
      </c>
      <c r="K15" s="41">
        <f t="shared" si="3"/>
        <v>4831715.047</v>
      </c>
      <c r="L15" s="41">
        <f t="shared" si="3"/>
        <v>5332869.514</v>
      </c>
      <c r="M15" s="41">
        <f>SUM(M6:M14)</f>
        <v>2961546.744</v>
      </c>
      <c r="N15" s="41">
        <f t="shared" si="3"/>
        <v>4601301.234</v>
      </c>
      <c r="O15" s="41">
        <f>SUM(O6:O14)</f>
        <v>4626534.7700000005</v>
      </c>
      <c r="P15" s="41">
        <f>SUM(P6:P14)</f>
        <v>1307398.4779999997</v>
      </c>
      <c r="Q15" s="41">
        <f t="shared" si="3"/>
        <v>5703780.758000001</v>
      </c>
      <c r="R15" s="41">
        <f t="shared" si="3"/>
        <v>2149345.835</v>
      </c>
      <c r="S15" s="41">
        <f>SUM(S6:S14)</f>
        <v>3236344.5139999995</v>
      </c>
      <c r="T15" s="41">
        <f t="shared" si="3"/>
        <v>1837146.384</v>
      </c>
      <c r="U15" s="41">
        <f>SUM(U6:U14)</f>
        <v>4104983.1850000005</v>
      </c>
      <c r="V15" s="41">
        <f>SUM(V6:V14)</f>
        <v>1752035.168</v>
      </c>
      <c r="W15" s="41">
        <f t="shared" si="3"/>
        <v>3123613.208</v>
      </c>
      <c r="X15" s="41">
        <f>SUM(X6:X14)</f>
        <v>1859948.4030000002</v>
      </c>
      <c r="Y15" s="41">
        <f>SUM(Y6:Y14)</f>
        <v>3676531</v>
      </c>
      <c r="Z15" s="41">
        <f t="shared" si="3"/>
        <v>1339649.058</v>
      </c>
      <c r="AA15" s="41">
        <f t="shared" si="3"/>
        <v>3320689.6499999994</v>
      </c>
      <c r="AB15" s="41">
        <f>SUM(AB6:AB14)</f>
        <v>4764377.734999999</v>
      </c>
      <c r="AC15" s="41">
        <f>SUM(AC6:AC14)</f>
        <v>620355.169</v>
      </c>
      <c r="AD15" s="41">
        <f t="shared" si="3"/>
        <v>1057470.0159999998</v>
      </c>
      <c r="AE15" s="41">
        <f>SUM(AE6:AE14)</f>
        <v>1905507.3400000003</v>
      </c>
      <c r="AF15" s="41">
        <f t="shared" si="3"/>
        <v>545646.059</v>
      </c>
      <c r="AG15" s="41">
        <f t="shared" si="3"/>
        <v>376480.984</v>
      </c>
      <c r="AH15" s="41">
        <f t="shared" si="3"/>
        <v>591221.5730000001</v>
      </c>
      <c r="AI15" s="41">
        <f>SUM(AI6:AI14)</f>
        <v>903968.4</v>
      </c>
      <c r="AJ15" s="41">
        <f t="shared" si="3"/>
        <v>552260.982</v>
      </c>
      <c r="AK15" s="41">
        <f t="shared" si="3"/>
        <v>260899.855</v>
      </c>
      <c r="AL15" s="41">
        <f>SUM(AL6:AL14)</f>
        <v>264637.303</v>
      </c>
      <c r="AM15" s="41">
        <f t="shared" si="3"/>
        <v>598443.738</v>
      </c>
      <c r="AN15" s="41">
        <f t="shared" si="3"/>
        <v>330676.7270000001</v>
      </c>
      <c r="AO15" s="41">
        <f t="shared" si="3"/>
        <v>485621.645</v>
      </c>
      <c r="AP15" s="41">
        <f t="shared" si="3"/>
        <v>217469.176</v>
      </c>
      <c r="AQ15" s="41">
        <f t="shared" si="3"/>
        <v>903783.9660000001</v>
      </c>
      <c r="AR15" s="41">
        <f>SUM(AR6:AR14)</f>
        <v>723017.69</v>
      </c>
      <c r="AS15" s="41">
        <f t="shared" si="3"/>
        <v>320751.493</v>
      </c>
      <c r="AT15" s="41">
        <f t="shared" si="3"/>
        <v>219229.73400000003</v>
      </c>
      <c r="AU15" s="41">
        <f t="shared" si="3"/>
        <v>196287.87800000003</v>
      </c>
      <c r="AV15" s="41">
        <f t="shared" si="3"/>
        <v>312350.94700000004</v>
      </c>
      <c r="AW15" s="41">
        <f>SUM(AW6:AW14)</f>
        <v>480066.707</v>
      </c>
      <c r="AX15" s="41">
        <f t="shared" si="3"/>
        <v>187529.698</v>
      </c>
      <c r="AY15" s="41">
        <f>SUM(AY6:AY14)</f>
        <v>139700.60700000002</v>
      </c>
      <c r="AZ15" s="41">
        <f>SUM(AZ6:AZ14)</f>
        <v>108588.60800000001</v>
      </c>
      <c r="BA15" s="41">
        <f t="shared" si="3"/>
        <v>78231.22700000001</v>
      </c>
      <c r="BB15" s="41">
        <f t="shared" si="3"/>
        <v>55239.62</v>
      </c>
      <c r="BC15" s="41">
        <f>SUM(BC6:BC14)</f>
        <v>60204.83699999999</v>
      </c>
      <c r="BD15" s="41">
        <f>SUM(BD6:BD14)</f>
        <v>39817.942</v>
      </c>
      <c r="BE15" s="41">
        <f t="shared" si="3"/>
        <v>95065.169</v>
      </c>
      <c r="BF15" s="41">
        <f>SUM(BF6:BF14)</f>
        <v>16906.647</v>
      </c>
      <c r="BG15" s="41">
        <f>SUM(BG6:BG14)</f>
        <v>20938.154</v>
      </c>
      <c r="BH15" s="41">
        <f>SUM(BH6:BH14)</f>
        <v>40138.816999999995</v>
      </c>
      <c r="BI15" s="41">
        <f>SUM(BI6:BI14)</f>
        <v>1868.877</v>
      </c>
      <c r="BL15" s="2">
        <f t="shared" si="0"/>
        <v>169126498.31800008</v>
      </c>
      <c r="BM15" s="2"/>
      <c r="BN15" s="2">
        <f t="shared" si="2"/>
        <v>26416542.233000003</v>
      </c>
      <c r="BO15" s="2">
        <f t="shared" si="1"/>
        <v>142709956.085</v>
      </c>
      <c r="BP15" s="41"/>
    </row>
    <row r="16" spans="1:67" ht="8.25" customHeight="1">
      <c r="A16" s="20"/>
      <c r="BL16" s="2"/>
      <c r="BM16" s="2"/>
      <c r="BN16" s="2"/>
      <c r="BO16" s="2"/>
    </row>
    <row r="17" spans="1:68" ht="12.75">
      <c r="A17" s="51" t="s">
        <v>340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L17" s="2"/>
      <c r="BM17" s="2"/>
      <c r="BN17" s="2"/>
      <c r="BO17" s="2"/>
      <c r="BP17" s="2"/>
    </row>
    <row r="18" spans="1:68" ht="12.75">
      <c r="A18" s="22" t="s">
        <v>300</v>
      </c>
      <c r="B18" s="2">
        <f>1339785.528+1000</f>
        <v>1340785.528</v>
      </c>
      <c r="C18" s="2">
        <v>5573652.387</v>
      </c>
      <c r="D18" s="2">
        <v>1299428.091</v>
      </c>
      <c r="E18" s="2">
        <v>875280.483</v>
      </c>
      <c r="F18" s="2">
        <v>829056.474</v>
      </c>
      <c r="G18" s="2">
        <v>401278.816</v>
      </c>
      <c r="H18" s="2">
        <v>120589.223</v>
      </c>
      <c r="I18" s="2">
        <v>391030.294</v>
      </c>
      <c r="J18" s="2">
        <v>579111.276</v>
      </c>
      <c r="K18" s="2">
        <v>126134.981</v>
      </c>
      <c r="L18" s="2">
        <v>233884.691</v>
      </c>
      <c r="M18" s="2">
        <v>211574.706</v>
      </c>
      <c r="N18" s="2">
        <v>499244.845</v>
      </c>
      <c r="O18" s="2">
        <v>91572.419</v>
      </c>
      <c r="P18" s="2">
        <v>59200.603</v>
      </c>
      <c r="Q18" s="2">
        <v>278490.532</v>
      </c>
      <c r="R18" s="2">
        <v>180203.314</v>
      </c>
      <c r="S18" s="2">
        <v>62060.105</v>
      </c>
      <c r="T18" s="2">
        <v>196613.103</v>
      </c>
      <c r="U18" s="2">
        <v>45874.306</v>
      </c>
      <c r="V18" s="2">
        <v>371030.761</v>
      </c>
      <c r="W18" s="2">
        <v>161439.973</v>
      </c>
      <c r="X18" s="2">
        <f>157354.173+431941.145</f>
        <v>589295.318</v>
      </c>
      <c r="Y18" s="2">
        <v>42360</v>
      </c>
      <c r="Z18" s="2">
        <v>21069.141</v>
      </c>
      <c r="AA18" s="2">
        <v>101741.599</v>
      </c>
      <c r="AB18" s="2">
        <v>40304.371</v>
      </c>
      <c r="AC18" s="2">
        <v>115859.992</v>
      </c>
      <c r="AD18" s="2">
        <v>724234.707</v>
      </c>
      <c r="AE18" s="2">
        <v>54814.179</v>
      </c>
      <c r="AF18" s="2">
        <v>105903.014</v>
      </c>
      <c r="AG18" s="2">
        <v>117458.478</v>
      </c>
      <c r="AH18" s="2">
        <v>44888.909</v>
      </c>
      <c r="AI18" s="2">
        <v>31800.065</v>
      </c>
      <c r="AJ18" s="2">
        <v>67838.022</v>
      </c>
      <c r="AK18" s="2">
        <v>30404.709</v>
      </c>
      <c r="AL18" s="2">
        <v>14464.591</v>
      </c>
      <c r="AM18" s="2">
        <v>24351.485</v>
      </c>
      <c r="AN18" s="2">
        <v>47209.249</v>
      </c>
      <c r="AO18" s="2">
        <v>62556.027</v>
      </c>
      <c r="AP18" s="2">
        <v>35791.193</v>
      </c>
      <c r="AQ18" s="2">
        <v>9316.361</v>
      </c>
      <c r="AR18" s="2">
        <v>2910.634</v>
      </c>
      <c r="AS18" s="2">
        <v>98706.733</v>
      </c>
      <c r="AT18" s="2">
        <v>25452.5</v>
      </c>
      <c r="AU18" s="2">
        <v>32990.651</v>
      </c>
      <c r="AV18" s="2">
        <v>38740.218</v>
      </c>
      <c r="AW18" s="2">
        <v>49.267</v>
      </c>
      <c r="AX18" s="2">
        <v>28946.206</v>
      </c>
      <c r="AY18" s="2">
        <v>33339.352</v>
      </c>
      <c r="AZ18" s="2">
        <v>23304.774</v>
      </c>
      <c r="BA18" s="2">
        <v>34795.216</v>
      </c>
      <c r="BB18" s="2">
        <v>21594.239</v>
      </c>
      <c r="BC18" s="2">
        <v>15694.177</v>
      </c>
      <c r="BD18" s="2">
        <v>17129.679</v>
      </c>
      <c r="BE18" s="2">
        <v>100301.464</v>
      </c>
      <c r="BF18" s="2">
        <v>141.804</v>
      </c>
      <c r="BG18" s="2">
        <v>24018.326</v>
      </c>
      <c r="BH18" s="2">
        <v>5029.81</v>
      </c>
      <c r="BI18" s="2">
        <v>1370.426</v>
      </c>
      <c r="BL18" s="2">
        <f aca="true" t="shared" si="4" ref="BL18:BL23">SUM(B18:BJ18)</f>
        <v>16713713.796999998</v>
      </c>
      <c r="BM18" s="2"/>
      <c r="BN18" s="2">
        <f t="shared" si="2"/>
        <v>7114902.339</v>
      </c>
      <c r="BO18" s="2">
        <f aca="true" t="shared" si="5" ref="BO18:BO23">B18+D18+E18+F18+G18+H18+I18+J18+K18+L18+M18+N18+O18+P18+Q18+R18+S18+T18+U18+W18+X18+Y18+Z18+AA18+AB18+AC18+AE18+AF18+AG18+AI18+AJ18+AK18+AL18+AM18+AO18+AQ18+AT18+AV18+AX18+AY18+BA18+BC18+BH18+BI18+AR18+BF18</f>
        <v>9598811.458</v>
      </c>
      <c r="BP18" s="2"/>
    </row>
    <row r="19" spans="1:68" ht="12.75">
      <c r="A19" s="22" t="s">
        <v>341</v>
      </c>
      <c r="B19" s="2">
        <v>74669.728</v>
      </c>
      <c r="C19" s="2">
        <v>43227.705</v>
      </c>
      <c r="D19" s="2">
        <v>23325.669</v>
      </c>
      <c r="E19" s="2">
        <v>55018.511</v>
      </c>
      <c r="F19" s="2">
        <v>17238.715</v>
      </c>
      <c r="G19" s="2">
        <v>16787.055</v>
      </c>
      <c r="H19" s="2">
        <v>18446.048</v>
      </c>
      <c r="I19" s="2">
        <v>23391.595</v>
      </c>
      <c r="J19" s="2">
        <v>19954.794</v>
      </c>
      <c r="K19" s="2">
        <v>21730.751</v>
      </c>
      <c r="L19" s="2">
        <v>22801.739</v>
      </c>
      <c r="M19" s="2">
        <v>15803.886</v>
      </c>
      <c r="N19" s="2">
        <v>4973.847</v>
      </c>
      <c r="O19" s="2">
        <v>13377.671</v>
      </c>
      <c r="P19" s="2">
        <v>15522.027</v>
      </c>
      <c r="Q19" s="2">
        <v>645.963</v>
      </c>
      <c r="R19" s="2">
        <v>12989.79</v>
      </c>
      <c r="S19" s="2">
        <v>29071.371</v>
      </c>
      <c r="T19" s="2">
        <v>11555.934</v>
      </c>
      <c r="U19" s="2">
        <v>726.83</v>
      </c>
      <c r="V19" s="2">
        <v>4685.076</v>
      </c>
      <c r="W19" s="2">
        <v>3644.381</v>
      </c>
      <c r="X19" s="2">
        <v>0</v>
      </c>
      <c r="Y19" s="2">
        <v>21383</v>
      </c>
      <c r="Z19" s="2">
        <v>1622.177</v>
      </c>
      <c r="AA19" s="2">
        <v>2.48</v>
      </c>
      <c r="AB19" s="2">
        <v>10526.509</v>
      </c>
      <c r="AC19" s="2">
        <v>6279.711</v>
      </c>
      <c r="AD19" s="2">
        <v>0</v>
      </c>
      <c r="AE19" s="2">
        <v>11869.162</v>
      </c>
      <c r="AF19" s="2">
        <v>1565.889</v>
      </c>
      <c r="AG19" s="2">
        <v>784</v>
      </c>
      <c r="AH19" s="2">
        <v>362.032</v>
      </c>
      <c r="AI19" s="2">
        <v>0</v>
      </c>
      <c r="AJ19" s="2">
        <v>2172.974</v>
      </c>
      <c r="AK19" s="2">
        <v>0</v>
      </c>
      <c r="AL19" s="2">
        <v>10.155</v>
      </c>
      <c r="AM19" s="2">
        <v>0</v>
      </c>
      <c r="AN19" s="2">
        <v>1317.633</v>
      </c>
      <c r="AO19" s="2">
        <v>615.941</v>
      </c>
      <c r="AP19" s="2">
        <v>525.272</v>
      </c>
      <c r="AQ19" s="2">
        <v>2.803</v>
      </c>
      <c r="AR19" s="2">
        <v>0</v>
      </c>
      <c r="AS19" s="2">
        <v>1440.051</v>
      </c>
      <c r="AT19" s="2">
        <v>1272.745</v>
      </c>
      <c r="AU19" s="2">
        <v>798.958</v>
      </c>
      <c r="AV19" s="2">
        <v>323.356</v>
      </c>
      <c r="AW19" s="2">
        <v>1653.184</v>
      </c>
      <c r="AX19" s="2">
        <v>658.744</v>
      </c>
      <c r="AY19" s="2">
        <v>0</v>
      </c>
      <c r="AZ19" s="2">
        <v>70.938</v>
      </c>
      <c r="BA19" s="2">
        <v>0</v>
      </c>
      <c r="BB19" s="2">
        <v>0</v>
      </c>
      <c r="BC19" s="2">
        <v>0</v>
      </c>
      <c r="BD19" s="2">
        <v>562.917</v>
      </c>
      <c r="BE19" s="2">
        <v>11.897</v>
      </c>
      <c r="BF19" s="2">
        <v>405.855</v>
      </c>
      <c r="BG19" s="2">
        <v>0</v>
      </c>
      <c r="BH19" s="2">
        <v>0</v>
      </c>
      <c r="BI19" s="2">
        <v>0</v>
      </c>
      <c r="BL19" s="2">
        <f t="shared" si="4"/>
        <v>515827.46900000004</v>
      </c>
      <c r="BM19" s="2"/>
      <c r="BN19" s="2">
        <f t="shared" si="2"/>
        <v>54655.663</v>
      </c>
      <c r="BO19" s="2">
        <f t="shared" si="5"/>
        <v>461171.80600000004</v>
      </c>
      <c r="BP19" s="2"/>
    </row>
    <row r="20" spans="1:68" ht="12.75">
      <c r="A20" s="22" t="s">
        <v>342</v>
      </c>
      <c r="B20" s="2">
        <v>80762.678</v>
      </c>
      <c r="C20" s="2">
        <v>78654.115</v>
      </c>
      <c r="D20" s="2">
        <v>91991.971</v>
      </c>
      <c r="E20" s="2">
        <v>48583.519</v>
      </c>
      <c r="F20" s="2">
        <v>44211.813</v>
      </c>
      <c r="G20" s="2">
        <v>27897.514</v>
      </c>
      <c r="H20" s="2">
        <v>18900.234</v>
      </c>
      <c r="I20" s="2">
        <v>14612.279</v>
      </c>
      <c r="J20" s="2">
        <v>27314.67</v>
      </c>
      <c r="K20" s="2">
        <v>25432.419</v>
      </c>
      <c r="L20" s="2">
        <v>29210.589</v>
      </c>
      <c r="M20" s="2">
        <v>23838.779</v>
      </c>
      <c r="N20" s="2">
        <v>24492.795</v>
      </c>
      <c r="O20" s="2">
        <v>14459.64</v>
      </c>
      <c r="P20" s="2">
        <f>20134.366+534.255</f>
        <v>20668.621000000003</v>
      </c>
      <c r="Q20" s="2">
        <v>32880.446</v>
      </c>
      <c r="R20" s="2">
        <v>14905.899</v>
      </c>
      <c r="S20" s="2">
        <v>7248.774</v>
      </c>
      <c r="T20" s="2">
        <v>10291.047</v>
      </c>
      <c r="U20" s="2">
        <v>2660.841</v>
      </c>
      <c r="V20" s="2">
        <v>8140.787</v>
      </c>
      <c r="W20" s="2">
        <v>6294.689</v>
      </c>
      <c r="X20" s="2">
        <v>1715.837</v>
      </c>
      <c r="Y20" s="2">
        <v>1927</v>
      </c>
      <c r="Z20" s="2">
        <v>5240.603</v>
      </c>
      <c r="AA20" s="2">
        <v>17491.015</v>
      </c>
      <c r="AB20" s="2">
        <v>8148.391</v>
      </c>
      <c r="AC20" s="2">
        <v>6928.757</v>
      </c>
      <c r="AD20" s="2">
        <v>5548.809</v>
      </c>
      <c r="AE20" s="2">
        <v>5095.478</v>
      </c>
      <c r="AF20" s="2">
        <v>1913.865</v>
      </c>
      <c r="AG20" s="2">
        <v>3383.605</v>
      </c>
      <c r="AH20" s="2">
        <v>2023.809</v>
      </c>
      <c r="AI20" s="2">
        <v>5167.529</v>
      </c>
      <c r="AJ20" s="2">
        <v>837.017</v>
      </c>
      <c r="AK20" s="2">
        <v>7000.749</v>
      </c>
      <c r="AL20" s="2">
        <v>3417.721</v>
      </c>
      <c r="AM20" s="2">
        <v>2104.233</v>
      </c>
      <c r="AN20" s="2">
        <v>2828.413</v>
      </c>
      <c r="AO20" s="2">
        <v>2114.066</v>
      </c>
      <c r="AP20" s="2">
        <f>3993.52+1482.649</f>
        <v>5476.169</v>
      </c>
      <c r="AQ20" s="2">
        <v>657.985</v>
      </c>
      <c r="AR20" s="2">
        <v>2495.769</v>
      </c>
      <c r="AS20" s="2">
        <v>1967.974</v>
      </c>
      <c r="AT20" s="2">
        <v>3158.717</v>
      </c>
      <c r="AU20" s="2">
        <v>211.016</v>
      </c>
      <c r="AV20" s="2">
        <v>1859.861</v>
      </c>
      <c r="AW20" s="2">
        <v>17244.435</v>
      </c>
      <c r="AX20" s="2">
        <v>585.603</v>
      </c>
      <c r="AY20" s="2">
        <v>1267.596</v>
      </c>
      <c r="AZ20" s="2">
        <v>2125.98</v>
      </c>
      <c r="BA20" s="2">
        <v>407.04</v>
      </c>
      <c r="BB20" s="2">
        <v>1511.544</v>
      </c>
      <c r="BC20" s="2">
        <v>3369.249</v>
      </c>
      <c r="BD20" s="2">
        <v>562.916</v>
      </c>
      <c r="BE20" s="2">
        <v>2034.027</v>
      </c>
      <c r="BF20" s="2">
        <v>811.712</v>
      </c>
      <c r="BG20" s="2">
        <v>947.515</v>
      </c>
      <c r="BH20" s="2">
        <v>0</v>
      </c>
      <c r="BI20" s="2">
        <v>89.914</v>
      </c>
      <c r="BL20" s="2">
        <f t="shared" si="4"/>
        <v>783126.038</v>
      </c>
      <c r="BM20" s="2"/>
      <c r="BN20" s="2">
        <f t="shared" si="2"/>
        <v>129277.50899999998</v>
      </c>
      <c r="BO20" s="2">
        <f t="shared" si="5"/>
        <v>653848.5289999999</v>
      </c>
      <c r="BP20" s="2"/>
    </row>
    <row r="21" spans="1:68" ht="12.75">
      <c r="A21" s="22" t="s">
        <v>343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1403.066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  <c r="AM21" s="2">
        <v>0</v>
      </c>
      <c r="AN21" s="2">
        <v>0</v>
      </c>
      <c r="AO21" s="2">
        <v>0</v>
      </c>
      <c r="AP21" s="2">
        <v>0</v>
      </c>
      <c r="AQ21" s="2">
        <v>5002.724</v>
      </c>
      <c r="AR21" s="2">
        <v>0</v>
      </c>
      <c r="AS21" s="2">
        <v>0</v>
      </c>
      <c r="AT21" s="2">
        <v>0</v>
      </c>
      <c r="AU21" s="2">
        <v>0</v>
      </c>
      <c r="AV21" s="2">
        <v>0</v>
      </c>
      <c r="AW21" s="2">
        <v>0</v>
      </c>
      <c r="AX21" s="2">
        <v>0</v>
      </c>
      <c r="AY21" s="2">
        <v>0</v>
      </c>
      <c r="AZ21" s="2">
        <v>0</v>
      </c>
      <c r="BA21" s="2">
        <v>0</v>
      </c>
      <c r="BB21" s="2">
        <v>0</v>
      </c>
      <c r="BC21" s="2">
        <v>0</v>
      </c>
      <c r="BD21" s="2">
        <v>0</v>
      </c>
      <c r="BE21" s="2">
        <v>0</v>
      </c>
      <c r="BF21" s="2">
        <v>0</v>
      </c>
      <c r="BG21" s="2">
        <v>0</v>
      </c>
      <c r="BH21" s="2">
        <v>0</v>
      </c>
      <c r="BI21" s="2">
        <v>0</v>
      </c>
      <c r="BL21" s="2">
        <f t="shared" si="4"/>
        <v>6405.79</v>
      </c>
      <c r="BM21" s="2"/>
      <c r="BN21" s="2">
        <f t="shared" si="2"/>
        <v>0</v>
      </c>
      <c r="BO21" s="2">
        <f t="shared" si="5"/>
        <v>6405.79</v>
      </c>
      <c r="BP21" s="2"/>
    </row>
    <row r="22" spans="1:68" ht="12.75">
      <c r="A22" s="22" t="s">
        <v>344</v>
      </c>
      <c r="B22" s="2">
        <v>2220.677</v>
      </c>
      <c r="C22" s="2">
        <v>3268.9</v>
      </c>
      <c r="D22" s="2">
        <f>1185000+7173.457</f>
        <v>1192173.457</v>
      </c>
      <c r="E22" s="2">
        <v>39323.853</v>
      </c>
      <c r="F22" s="2">
        <v>6368.059</v>
      </c>
      <c r="G22" s="2">
        <v>115.997</v>
      </c>
      <c r="H22" s="2">
        <v>0</v>
      </c>
      <c r="I22" s="2">
        <v>627.268</v>
      </c>
      <c r="J22" s="2">
        <v>0</v>
      </c>
      <c r="K22" s="2">
        <f>109541.221+4406.745</f>
        <v>113947.966</v>
      </c>
      <c r="L22" s="2">
        <v>0</v>
      </c>
      <c r="M22" s="2">
        <v>45129.206</v>
      </c>
      <c r="N22" s="2">
        <v>1.6</v>
      </c>
      <c r="O22" s="2">
        <v>21641.336</v>
      </c>
      <c r="P22" s="2">
        <v>0</v>
      </c>
      <c r="Q22" s="2">
        <v>132.493</v>
      </c>
      <c r="R22" s="2">
        <v>196.78</v>
      </c>
      <c r="S22" s="2">
        <v>0</v>
      </c>
      <c r="T22" s="2">
        <v>0</v>
      </c>
      <c r="U22" s="2">
        <v>14931.895</v>
      </c>
      <c r="V22" s="2">
        <v>272.272</v>
      </c>
      <c r="W22" s="2">
        <v>3002.31</v>
      </c>
      <c r="X22" s="2">
        <v>0</v>
      </c>
      <c r="Y22" s="2">
        <v>0</v>
      </c>
      <c r="Z22" s="2">
        <v>1987.738</v>
      </c>
      <c r="AA22" s="2">
        <v>0</v>
      </c>
      <c r="AB22" s="2">
        <v>36453.089</v>
      </c>
      <c r="AC22" s="2">
        <v>582.306</v>
      </c>
      <c r="AD22" s="2">
        <v>0</v>
      </c>
      <c r="AE22" s="2">
        <v>208290.144</v>
      </c>
      <c r="AF22" s="2">
        <v>444.197</v>
      </c>
      <c r="AG22" s="2">
        <v>23798.801</v>
      </c>
      <c r="AH22" s="2">
        <v>0</v>
      </c>
      <c r="AI22" s="2">
        <v>590.384</v>
      </c>
      <c r="AJ22" s="2">
        <v>0</v>
      </c>
      <c r="AK22" s="2">
        <v>413.409</v>
      </c>
      <c r="AL22" s="2">
        <v>817.664</v>
      </c>
      <c r="AM22" s="2">
        <v>3987.863</v>
      </c>
      <c r="AN22" s="2">
        <v>18.821</v>
      </c>
      <c r="AO22" s="2">
        <v>0</v>
      </c>
      <c r="AP22" s="2">
        <v>0</v>
      </c>
      <c r="AQ22" s="2">
        <v>-7825.388</v>
      </c>
      <c r="AR22" s="2">
        <v>0</v>
      </c>
      <c r="AS22" s="2">
        <v>0</v>
      </c>
      <c r="AT22" s="2">
        <v>1123.84</v>
      </c>
      <c r="AU22" s="2">
        <v>0</v>
      </c>
      <c r="AV22" s="2">
        <v>2684.109</v>
      </c>
      <c r="AW22" s="2">
        <v>37812.467</v>
      </c>
      <c r="AX22" s="2">
        <v>0</v>
      </c>
      <c r="AY22" s="2">
        <v>-201.734</v>
      </c>
      <c r="AZ22" s="2">
        <v>1046.544</v>
      </c>
      <c r="BA22" s="2">
        <v>0</v>
      </c>
      <c r="BB22" s="2">
        <v>0</v>
      </c>
      <c r="BC22" s="2">
        <v>0</v>
      </c>
      <c r="BD22" s="2">
        <v>0</v>
      </c>
      <c r="BE22" s="2">
        <v>0</v>
      </c>
      <c r="BF22" s="2">
        <v>16376.965</v>
      </c>
      <c r="BG22" s="2">
        <v>0</v>
      </c>
      <c r="BH22" s="2">
        <f>262.618-2887.084</f>
        <v>-2624.466</v>
      </c>
      <c r="BI22" s="2">
        <v>0</v>
      </c>
      <c r="BL22" s="2">
        <f t="shared" si="4"/>
        <v>1769130.8220000002</v>
      </c>
      <c r="BM22" s="2"/>
      <c r="BN22" s="2">
        <f t="shared" si="2"/>
        <v>42419.004</v>
      </c>
      <c r="BO22" s="2">
        <f t="shared" si="5"/>
        <v>1726711.8179999997</v>
      </c>
      <c r="BP22" s="2"/>
    </row>
    <row r="23" spans="1:68" ht="12.75">
      <c r="A23" s="50" t="s">
        <v>345</v>
      </c>
      <c r="B23" s="41">
        <f>SUM(B18:B22)</f>
        <v>1498438.611</v>
      </c>
      <c r="C23" s="41">
        <f>SUM(C18:C22)</f>
        <v>5698803.107000001</v>
      </c>
      <c r="D23" s="41">
        <f aca="true" t="shared" si="6" ref="D23:BE23">SUM(D18:D22)</f>
        <v>2606919.188</v>
      </c>
      <c r="E23" s="41">
        <f>SUM(E18:E22)</f>
        <v>1018206.3659999999</v>
      </c>
      <c r="F23" s="41">
        <f t="shared" si="6"/>
        <v>896875.061</v>
      </c>
      <c r="G23" s="41">
        <f t="shared" si="6"/>
        <v>446079.382</v>
      </c>
      <c r="H23" s="41">
        <f t="shared" si="6"/>
        <v>157935.505</v>
      </c>
      <c r="I23" s="41">
        <f t="shared" si="6"/>
        <v>429661.4359999999</v>
      </c>
      <c r="J23" s="41">
        <f t="shared" si="6"/>
        <v>626380.74</v>
      </c>
      <c r="K23" s="41">
        <f t="shared" si="6"/>
        <v>287246.11699999997</v>
      </c>
      <c r="L23" s="41">
        <f t="shared" si="6"/>
        <v>285897.019</v>
      </c>
      <c r="M23" s="41">
        <f>SUM(M18:M22)</f>
        <v>296346.577</v>
      </c>
      <c r="N23" s="41">
        <f t="shared" si="6"/>
        <v>528713.0869999999</v>
      </c>
      <c r="O23" s="41">
        <f>SUM(O18:O22)</f>
        <v>141051.066</v>
      </c>
      <c r="P23" s="41">
        <f>SUM(P18:P22)</f>
        <v>95391.251</v>
      </c>
      <c r="Q23" s="41">
        <f t="shared" si="6"/>
        <v>312149.434</v>
      </c>
      <c r="R23" s="41">
        <f t="shared" si="6"/>
        <v>208295.78300000002</v>
      </c>
      <c r="S23" s="41">
        <f>SUM(S18:S22)</f>
        <v>98380.25</v>
      </c>
      <c r="T23" s="41">
        <f t="shared" si="6"/>
        <v>218460.084</v>
      </c>
      <c r="U23" s="41">
        <f>SUM(U18:U22)</f>
        <v>64193.872</v>
      </c>
      <c r="V23" s="41">
        <f>SUM(V18:V22)</f>
        <v>384128.896</v>
      </c>
      <c r="W23" s="41">
        <f t="shared" si="6"/>
        <v>175784.419</v>
      </c>
      <c r="X23" s="41">
        <f>SUM(X18:X22)</f>
        <v>591011.155</v>
      </c>
      <c r="Y23" s="41">
        <f>SUM(Y18:Y22)</f>
        <v>65670</v>
      </c>
      <c r="Z23" s="41">
        <f t="shared" si="6"/>
        <v>29919.659</v>
      </c>
      <c r="AA23" s="41">
        <f t="shared" si="6"/>
        <v>119235.094</v>
      </c>
      <c r="AB23" s="41">
        <f>SUM(AB18:AB22)</f>
        <v>95432.35999999999</v>
      </c>
      <c r="AC23" s="41">
        <f>SUM(AC18:AC22)</f>
        <v>129650.76599999999</v>
      </c>
      <c r="AD23" s="41">
        <f t="shared" si="6"/>
        <v>729783.5160000001</v>
      </c>
      <c r="AE23" s="41">
        <f>SUM(AE18:AE22)</f>
        <v>280068.963</v>
      </c>
      <c r="AF23" s="41">
        <f t="shared" si="6"/>
        <v>109826.965</v>
      </c>
      <c r="AG23" s="41">
        <f t="shared" si="6"/>
        <v>145424.884</v>
      </c>
      <c r="AH23" s="41">
        <f t="shared" si="6"/>
        <v>47274.75</v>
      </c>
      <c r="AI23" s="41">
        <f>SUM(AI18:AI22)</f>
        <v>37557.977999999996</v>
      </c>
      <c r="AJ23" s="41">
        <f t="shared" si="6"/>
        <v>70848.013</v>
      </c>
      <c r="AK23" s="41">
        <f t="shared" si="6"/>
        <v>37818.867</v>
      </c>
      <c r="AL23" s="41">
        <f>SUM(AL18:AL22)</f>
        <v>18710.131</v>
      </c>
      <c r="AM23" s="41">
        <f t="shared" si="6"/>
        <v>30443.581000000002</v>
      </c>
      <c r="AN23" s="41">
        <f t="shared" si="6"/>
        <v>51374.11600000001</v>
      </c>
      <c r="AO23" s="41">
        <f t="shared" si="6"/>
        <v>65286.034</v>
      </c>
      <c r="AP23" s="41">
        <f t="shared" si="6"/>
        <v>41792.634</v>
      </c>
      <c r="AQ23" s="41">
        <f t="shared" si="6"/>
        <v>7154.4850000000015</v>
      </c>
      <c r="AR23" s="41">
        <f>SUM(AR18:AR22)</f>
        <v>5406.403</v>
      </c>
      <c r="AS23" s="41">
        <f t="shared" si="6"/>
        <v>102114.758</v>
      </c>
      <c r="AT23" s="41">
        <f t="shared" si="6"/>
        <v>31007.802</v>
      </c>
      <c r="AU23" s="41">
        <f t="shared" si="6"/>
        <v>34000.625</v>
      </c>
      <c r="AV23" s="41">
        <f t="shared" si="6"/>
        <v>43607.543999999994</v>
      </c>
      <c r="AW23" s="41">
        <f>SUM(AW18:AW22)</f>
        <v>56759.353</v>
      </c>
      <c r="AX23" s="41">
        <f t="shared" si="6"/>
        <v>30190.552999999996</v>
      </c>
      <c r="AY23" s="41">
        <f>SUM(AY18:AY22)</f>
        <v>34405.214</v>
      </c>
      <c r="AZ23" s="41">
        <f>SUM(AZ18:AZ22)</f>
        <v>26548.236</v>
      </c>
      <c r="BA23" s="41">
        <f t="shared" si="6"/>
        <v>35202.256</v>
      </c>
      <c r="BB23" s="41">
        <f t="shared" si="6"/>
        <v>23105.783000000003</v>
      </c>
      <c r="BC23" s="41">
        <f>SUM(BC18:BC22)</f>
        <v>19063.426</v>
      </c>
      <c r="BD23" s="41">
        <f>SUM(BD18:BD22)</f>
        <v>18255.512000000002</v>
      </c>
      <c r="BE23" s="41">
        <f t="shared" si="6"/>
        <v>102347.388</v>
      </c>
      <c r="BF23" s="41">
        <f>SUM(BF18:BF22)</f>
        <v>17736.336</v>
      </c>
      <c r="BG23" s="41">
        <f>SUM(BG18:BG22)</f>
        <v>24965.841</v>
      </c>
      <c r="BH23" s="41">
        <f>SUM(BH18:BH22)</f>
        <v>2405.3440000000005</v>
      </c>
      <c r="BI23" s="41">
        <f>SUM(BI18:BI22)</f>
        <v>1460.34</v>
      </c>
      <c r="BL23" s="2">
        <f t="shared" si="4"/>
        <v>19788203.916</v>
      </c>
      <c r="BM23" s="2"/>
      <c r="BN23" s="2">
        <f t="shared" si="2"/>
        <v>7341254.515000001</v>
      </c>
      <c r="BO23" s="2">
        <f t="shared" si="5"/>
        <v>12446949.400999997</v>
      </c>
      <c r="BP23" s="41"/>
    </row>
    <row r="24" spans="1:67" ht="8.25" customHeight="1">
      <c r="A24" s="20"/>
      <c r="BL24" s="2"/>
      <c r="BM24" s="2"/>
      <c r="BN24" s="2"/>
      <c r="BO24" s="2"/>
    </row>
    <row r="25" spans="1:67" ht="12.75">
      <c r="A25" s="51" t="s">
        <v>346</v>
      </c>
      <c r="BL25" s="2"/>
      <c r="BM25" s="2"/>
      <c r="BN25" s="2"/>
      <c r="BO25" s="2"/>
    </row>
    <row r="26" spans="1:68" ht="12.75">
      <c r="A26" s="51" t="s">
        <v>347</v>
      </c>
      <c r="B26" s="41">
        <f>B15-B23</f>
        <v>14621031.839000002</v>
      </c>
      <c r="C26" s="41">
        <f>C15-C23</f>
        <v>15452110.895000003</v>
      </c>
      <c r="D26" s="41">
        <f aca="true" t="shared" si="7" ref="D26:BI26">D15-D23</f>
        <v>10640070.938000001</v>
      </c>
      <c r="E26" s="41">
        <f>E15-E23</f>
        <v>17928761.301</v>
      </c>
      <c r="F26" s="41">
        <f t="shared" si="7"/>
        <v>7431237.585999999</v>
      </c>
      <c r="G26" s="41">
        <f t="shared" si="7"/>
        <v>1608546.839</v>
      </c>
      <c r="H26" s="41">
        <f t="shared" si="7"/>
        <v>3235372.888</v>
      </c>
      <c r="I26" s="41">
        <f t="shared" si="7"/>
        <v>8652199.080999998</v>
      </c>
      <c r="J26" s="41">
        <f t="shared" si="7"/>
        <v>2937679.285</v>
      </c>
      <c r="K26" s="41">
        <f t="shared" si="7"/>
        <v>4544468.930000001</v>
      </c>
      <c r="L26" s="41">
        <f t="shared" si="7"/>
        <v>5046972.495</v>
      </c>
      <c r="M26" s="41">
        <f>M15-M23</f>
        <v>2665200.167</v>
      </c>
      <c r="N26" s="41">
        <f t="shared" si="7"/>
        <v>4072588.1470000003</v>
      </c>
      <c r="O26" s="41">
        <f t="shared" si="7"/>
        <v>4485483.704000001</v>
      </c>
      <c r="P26" s="41">
        <f>P15-P23</f>
        <v>1212007.2269999997</v>
      </c>
      <c r="Q26" s="41">
        <f t="shared" si="7"/>
        <v>5391631.324000001</v>
      </c>
      <c r="R26" s="41">
        <f t="shared" si="7"/>
        <v>1941050.052</v>
      </c>
      <c r="S26" s="41">
        <f>S15-S23</f>
        <v>3137964.2639999995</v>
      </c>
      <c r="T26" s="41">
        <f t="shared" si="7"/>
        <v>1618686.3</v>
      </c>
      <c r="U26" s="41">
        <f>U15-U23</f>
        <v>4040789.3130000005</v>
      </c>
      <c r="V26" s="41">
        <f>V15-V23</f>
        <v>1367906.272</v>
      </c>
      <c r="W26" s="41">
        <f t="shared" si="7"/>
        <v>2947828.789</v>
      </c>
      <c r="X26" s="41">
        <f>X15-X23</f>
        <v>1268937.2480000001</v>
      </c>
      <c r="Y26" s="41">
        <f>Y15-Y23</f>
        <v>3610861</v>
      </c>
      <c r="Z26" s="41">
        <f t="shared" si="7"/>
        <v>1309729.399</v>
      </c>
      <c r="AA26" s="41">
        <f t="shared" si="7"/>
        <v>3201454.5559999994</v>
      </c>
      <c r="AB26" s="41">
        <f>AB15-AB23</f>
        <v>4668945.374999999</v>
      </c>
      <c r="AC26" s="41">
        <f>AC15-AC23</f>
        <v>490704.403</v>
      </c>
      <c r="AD26" s="41">
        <f t="shared" si="7"/>
        <v>327686.49999999977</v>
      </c>
      <c r="AE26" s="41">
        <f>AE15-AE23</f>
        <v>1625438.3770000003</v>
      </c>
      <c r="AF26" s="41">
        <f t="shared" si="7"/>
        <v>435819.09400000004</v>
      </c>
      <c r="AG26" s="41">
        <f t="shared" si="7"/>
        <v>231056.1</v>
      </c>
      <c r="AH26" s="41">
        <f t="shared" si="7"/>
        <v>543946.8230000001</v>
      </c>
      <c r="AI26" s="41">
        <f>AI15-AI23</f>
        <v>866410.422</v>
      </c>
      <c r="AJ26" s="41">
        <f t="shared" si="7"/>
        <v>481412.9689999999</v>
      </c>
      <c r="AK26" s="41">
        <f t="shared" si="7"/>
        <v>223080.988</v>
      </c>
      <c r="AL26" s="41">
        <f>AL15-AL23</f>
        <v>245927.17200000002</v>
      </c>
      <c r="AM26" s="41">
        <f t="shared" si="7"/>
        <v>568000.157</v>
      </c>
      <c r="AN26" s="41">
        <f t="shared" si="7"/>
        <v>279302.61100000003</v>
      </c>
      <c r="AO26" s="41">
        <f t="shared" si="7"/>
        <v>420335.61100000003</v>
      </c>
      <c r="AP26" s="41">
        <f t="shared" si="7"/>
        <v>175676.54200000002</v>
      </c>
      <c r="AQ26" s="41">
        <f t="shared" si="7"/>
        <v>896629.4810000001</v>
      </c>
      <c r="AR26" s="41">
        <f>AR15-AR23</f>
        <v>717611.2869999999</v>
      </c>
      <c r="AS26" s="41">
        <f t="shared" si="7"/>
        <v>218636.73500000002</v>
      </c>
      <c r="AT26" s="41">
        <f t="shared" si="7"/>
        <v>188221.93200000003</v>
      </c>
      <c r="AU26" s="41">
        <f t="shared" si="7"/>
        <v>162287.25300000003</v>
      </c>
      <c r="AV26" s="41">
        <f t="shared" si="7"/>
        <v>268743.40300000005</v>
      </c>
      <c r="AW26" s="41">
        <f>AW15-AW23</f>
        <v>423307.354</v>
      </c>
      <c r="AX26" s="41">
        <f t="shared" si="7"/>
        <v>157339.14500000002</v>
      </c>
      <c r="AY26" s="41">
        <f>AY15-AY23</f>
        <v>105295.39300000001</v>
      </c>
      <c r="AZ26" s="41">
        <f>AZ15-AZ23</f>
        <v>82040.372</v>
      </c>
      <c r="BA26" s="41">
        <f t="shared" si="7"/>
        <v>43028.97100000001</v>
      </c>
      <c r="BB26" s="41">
        <f t="shared" si="7"/>
        <v>32133.837</v>
      </c>
      <c r="BC26" s="41">
        <f>BC15-BC23</f>
        <v>41141.41099999999</v>
      </c>
      <c r="BD26" s="41">
        <f>BD15-BD23</f>
        <v>21562.43</v>
      </c>
      <c r="BE26" s="41">
        <f t="shared" si="7"/>
        <v>-7282.219000000012</v>
      </c>
      <c r="BF26" s="41">
        <f>BF15-BF23</f>
        <v>-829.6889999999985</v>
      </c>
      <c r="BG26" s="41">
        <f>BG15-BG23</f>
        <v>-4027.6870000000017</v>
      </c>
      <c r="BH26" s="41">
        <f t="shared" si="7"/>
        <v>37733.473</v>
      </c>
      <c r="BI26" s="41">
        <f t="shared" si="7"/>
        <v>408.53700000000003</v>
      </c>
      <c r="BL26" s="2">
        <f>SUM(B26:BJ26)</f>
        <v>149338294.40200004</v>
      </c>
      <c r="BM26" s="2"/>
      <c r="BN26" s="2">
        <f t="shared" si="2"/>
        <v>19075287.718000002</v>
      </c>
      <c r="BO26" s="2">
        <f>B26+D26+E26+F26+G26+H26+I26+J26+K26+L26+M26+N26+O26+P26+Q26+R26+S26+T26+U26+W26+X26+Y26+Z26+AA26+AB26+AC26+AE26+AF26+AG26+AI26+AJ26+AK26+AL26+AM26+AO26+AQ26+AT26+AV26+AX26+AY26+BA26+BC26+BH26+BI26+AR26+BF26</f>
        <v>130263006.68400002</v>
      </c>
      <c r="BP26" s="41"/>
    </row>
    <row r="27" spans="1:67" ht="8.25" customHeight="1">
      <c r="A27" s="51"/>
      <c r="BL27" s="2"/>
      <c r="BM27" s="2"/>
      <c r="BN27" s="2"/>
      <c r="BO27" s="2"/>
    </row>
    <row r="28" spans="1:67" ht="12.75">
      <c r="A28" s="51" t="s">
        <v>380</v>
      </c>
      <c r="BL28" s="2"/>
      <c r="BM28" s="2"/>
      <c r="BN28" s="2"/>
      <c r="BO28" s="2"/>
    </row>
    <row r="29" spans="1:68" ht="12.75">
      <c r="A29" s="49" t="s">
        <v>348</v>
      </c>
      <c r="B29" s="2">
        <v>6523290.246</v>
      </c>
      <c r="C29" s="2">
        <v>5010963.201</v>
      </c>
      <c r="D29" s="2">
        <v>6032540.205</v>
      </c>
      <c r="E29" s="2">
        <v>14118558.519</v>
      </c>
      <c r="F29" s="2">
        <v>4577391.499</v>
      </c>
      <c r="G29" s="2">
        <f>-905640.265+228976.475</f>
        <v>-676663.79</v>
      </c>
      <c r="H29" s="2">
        <v>1606502.02</v>
      </c>
      <c r="I29" s="2">
        <v>7323038.537</v>
      </c>
      <c r="J29" s="2">
        <v>1235736.37</v>
      </c>
      <c r="K29" s="2">
        <v>2398015.058</v>
      </c>
      <c r="L29" s="2">
        <v>1852553.237</v>
      </c>
      <c r="M29" s="2">
        <v>1468761.455</v>
      </c>
      <c r="N29" s="2">
        <v>3460474.285</v>
      </c>
      <c r="O29" s="2">
        <v>4328553.674</v>
      </c>
      <c r="P29" s="2">
        <f>7636.422+10193.462</f>
        <v>17829.884</v>
      </c>
      <c r="Q29" s="2">
        <v>4969734.611</v>
      </c>
      <c r="R29" s="2">
        <v>1134908.025</v>
      </c>
      <c r="S29" s="2">
        <v>1511289.115</v>
      </c>
      <c r="T29" s="2">
        <v>943455.105</v>
      </c>
      <c r="U29" s="2">
        <v>3871543.875</v>
      </c>
      <c r="V29" s="2">
        <v>510670.602</v>
      </c>
      <c r="W29" s="2">
        <v>577827.718</v>
      </c>
      <c r="X29" s="2">
        <v>647490.71</v>
      </c>
      <c r="Y29" s="2">
        <v>3026724</v>
      </c>
      <c r="Z29" s="2">
        <v>1198177.319</v>
      </c>
      <c r="AA29" s="2">
        <v>2372305.787</v>
      </c>
      <c r="AB29" s="2">
        <v>1654490.428</v>
      </c>
      <c r="AC29" s="2">
        <v>104895.138</v>
      </c>
      <c r="AD29" s="2">
        <v>177258.562</v>
      </c>
      <c r="AE29" s="2">
        <f>131401.078+467637.293+431890.994+124642.211</f>
        <v>1155571.576</v>
      </c>
      <c r="AF29" s="2">
        <v>169129.828</v>
      </c>
      <c r="AG29" s="2">
        <v>0</v>
      </c>
      <c r="AH29" s="2">
        <v>572278.46</v>
      </c>
      <c r="AI29" s="2">
        <v>754108.223</v>
      </c>
      <c r="AJ29" s="2">
        <v>413113.118</v>
      </c>
      <c r="AK29" s="2">
        <v>0</v>
      </c>
      <c r="AL29" s="2">
        <v>163992.848</v>
      </c>
      <c r="AM29" s="2">
        <v>524992.45</v>
      </c>
      <c r="AN29" s="2">
        <v>148109.849</v>
      </c>
      <c r="AO29" s="2">
        <v>396259.396</v>
      </c>
      <c r="AP29" s="2">
        <f>7646.376+7504.978</f>
        <v>15151.354</v>
      </c>
      <c r="AQ29" s="2">
        <v>192699.103</v>
      </c>
      <c r="AR29" s="2">
        <v>342502.347</v>
      </c>
      <c r="AS29" s="2">
        <v>24273.966</v>
      </c>
      <c r="AT29" s="2">
        <v>21358.643</v>
      </c>
      <c r="AU29" s="2">
        <v>0</v>
      </c>
      <c r="AV29" s="2">
        <f>248223.796+5000</f>
        <v>253223.796</v>
      </c>
      <c r="AW29" s="2">
        <v>321122.317</v>
      </c>
      <c r="AX29" s="2">
        <v>143590.639</v>
      </c>
      <c r="AY29" s="2">
        <v>94464.53</v>
      </c>
      <c r="AZ29" s="2">
        <v>80488.471</v>
      </c>
      <c r="BA29" s="2">
        <v>0</v>
      </c>
      <c r="BB29" s="2">
        <v>0</v>
      </c>
      <c r="BC29" s="2">
        <v>42394.854</v>
      </c>
      <c r="BD29" s="2">
        <v>2000</v>
      </c>
      <c r="BE29" s="2">
        <v>0</v>
      </c>
      <c r="BF29" s="2">
        <v>0</v>
      </c>
      <c r="BG29" s="2">
        <v>10000</v>
      </c>
      <c r="BH29" s="2">
        <v>37606.156</v>
      </c>
      <c r="BI29" s="2">
        <v>0</v>
      </c>
      <c r="BL29" s="2">
        <f aca="true" t="shared" si="8" ref="BL29:BL36">SUM(B29:BJ29)</f>
        <v>87856747.31900005</v>
      </c>
      <c r="BM29" s="2"/>
      <c r="BN29" s="2">
        <f t="shared" si="2"/>
        <v>6872316.782000001</v>
      </c>
      <c r="BO29" s="2">
        <f aca="true" t="shared" si="9" ref="BO29:BO36">B29+D29+E29+F29+G29+H29+I29+J29+K29+L29+M29+N29+O29+P29+Q29+R29+S29+T29+U29+W29+X29+Y29+Z29+AA29+AB29+AC29+AE29+AF29+AG29+AI29+AJ29+AK29+AL29+AM29+AO29+AQ29+AT29+AV29+AX29+AY29+BA29+BC29+BH29+BI29+AR29+BF29</f>
        <v>80984430.53700002</v>
      </c>
      <c r="BP29" s="2"/>
    </row>
    <row r="30" spans="1:68" ht="12.75">
      <c r="A30" s="49" t="s">
        <v>349</v>
      </c>
      <c r="B30" s="2">
        <v>5834310.561</v>
      </c>
      <c r="C30" s="2">
        <v>8329000.839</v>
      </c>
      <c r="D30" s="2">
        <v>2915440.294</v>
      </c>
      <c r="E30" s="2">
        <v>1491379.497</v>
      </c>
      <c r="F30" s="2">
        <v>2415524.669</v>
      </c>
      <c r="G30" s="2">
        <f>1996223.902-118967.09</f>
        <v>1877256.812</v>
      </c>
      <c r="H30" s="2">
        <v>1593382.327</v>
      </c>
      <c r="I30" s="2">
        <v>1534427.535</v>
      </c>
      <c r="J30" s="2">
        <v>1461437.103</v>
      </c>
      <c r="K30" s="2">
        <v>1676162.204</v>
      </c>
      <c r="L30" s="2">
        <v>3063109.898</v>
      </c>
      <c r="M30" s="2">
        <v>1111555.416</v>
      </c>
      <c r="N30" s="2">
        <v>479418.65</v>
      </c>
      <c r="O30" s="2">
        <v>6007.5</v>
      </c>
      <c r="P30" s="2">
        <v>88976.509</v>
      </c>
      <c r="Q30" s="2">
        <v>0</v>
      </c>
      <c r="R30" s="2">
        <v>676221.107</v>
      </c>
      <c r="S30" s="2">
        <v>1628028.345</v>
      </c>
      <c r="T30" s="2">
        <v>639735.388</v>
      </c>
      <c r="U30" s="2">
        <v>86928.979</v>
      </c>
      <c r="V30" s="2">
        <v>630221.453</v>
      </c>
      <c r="W30" s="2">
        <v>2254997.708</v>
      </c>
      <c r="X30" s="2">
        <v>593582.753</v>
      </c>
      <c r="Y30" s="2">
        <v>561517</v>
      </c>
      <c r="Z30" s="2">
        <v>11071.5</v>
      </c>
      <c r="AA30" s="2">
        <v>802825.74</v>
      </c>
      <c r="AB30" s="2">
        <v>3089731.347</v>
      </c>
      <c r="AC30" s="2">
        <v>316813.709</v>
      </c>
      <c r="AD30" s="2">
        <v>57788.703</v>
      </c>
      <c r="AE30" s="2">
        <v>186546.75</v>
      </c>
      <c r="AF30" s="2">
        <v>245915.382</v>
      </c>
      <c r="AG30" s="2">
        <v>248786.33</v>
      </c>
      <c r="AH30" s="2">
        <v>0</v>
      </c>
      <c r="AI30" s="2">
        <v>44777.2</v>
      </c>
      <c r="AJ30" s="2">
        <v>58903.002</v>
      </c>
      <c r="AK30" s="2">
        <v>0</v>
      </c>
      <c r="AL30" s="2">
        <v>55933.479</v>
      </c>
      <c r="AM30" s="2">
        <v>44155.649</v>
      </c>
      <c r="AN30" s="2">
        <v>108107.168</v>
      </c>
      <c r="AO30" s="2">
        <v>25000</v>
      </c>
      <c r="AP30" s="2">
        <f>27973.823+33804.542</f>
        <v>61778.365000000005</v>
      </c>
      <c r="AQ30" s="2">
        <v>670881.569</v>
      </c>
      <c r="AR30" s="2">
        <v>335902.023</v>
      </c>
      <c r="AS30" s="2">
        <v>166959.953</v>
      </c>
      <c r="AT30" s="2">
        <v>122284.287</v>
      </c>
      <c r="AU30" s="2">
        <v>153174.405</v>
      </c>
      <c r="AV30" s="2">
        <v>15973.766</v>
      </c>
      <c r="AW30" s="2">
        <v>26809</v>
      </c>
      <c r="AX30" s="2">
        <v>15134.273</v>
      </c>
      <c r="AY30" s="2">
        <v>10376.284</v>
      </c>
      <c r="AZ30" s="2">
        <v>0</v>
      </c>
      <c r="BA30" s="2">
        <v>15372</v>
      </c>
      <c r="BB30" s="2">
        <v>42210</v>
      </c>
      <c r="BC30" s="2">
        <v>1104.505</v>
      </c>
      <c r="BD30" s="2">
        <v>1800</v>
      </c>
      <c r="BE30" s="2">
        <v>0</v>
      </c>
      <c r="BF30" s="2">
        <v>0</v>
      </c>
      <c r="BG30" s="2">
        <v>0</v>
      </c>
      <c r="BH30" s="2">
        <v>0</v>
      </c>
      <c r="BI30" s="2">
        <v>0</v>
      </c>
      <c r="BL30" s="2">
        <f t="shared" si="8"/>
        <v>47884738.93600001</v>
      </c>
      <c r="BM30" s="2"/>
      <c r="BN30" s="2">
        <f t="shared" si="2"/>
        <v>9577849.885999998</v>
      </c>
      <c r="BO30" s="2">
        <f t="shared" si="9"/>
        <v>38306889.05</v>
      </c>
      <c r="BP30" s="2"/>
    </row>
    <row r="31" spans="1:68" ht="12.75">
      <c r="A31" s="49" t="s">
        <v>350</v>
      </c>
      <c r="B31" s="2">
        <v>2485153.117</v>
      </c>
      <c r="C31" s="2">
        <v>2352886.649</v>
      </c>
      <c r="D31" s="2">
        <v>1648185.627</v>
      </c>
      <c r="E31" s="2">
        <v>1720152.467</v>
      </c>
      <c r="F31" s="2">
        <v>568802.166</v>
      </c>
      <c r="G31" s="2">
        <f>91366.861+251534.577</f>
        <v>342901.43799999997</v>
      </c>
      <c r="H31" s="2">
        <v>41263.5</v>
      </c>
      <c r="I31" s="2">
        <v>165166</v>
      </c>
      <c r="J31" s="2">
        <v>191810</v>
      </c>
      <c r="K31" s="2">
        <v>446293.652</v>
      </c>
      <c r="L31" s="2">
        <v>104697.684</v>
      </c>
      <c r="M31" s="2">
        <v>65671.756</v>
      </c>
      <c r="N31" s="2">
        <v>127618.381</v>
      </c>
      <c r="O31" s="2">
        <v>253942.517</v>
      </c>
      <c r="P31" s="2">
        <v>221712</v>
      </c>
      <c r="Q31" s="2">
        <v>81000</v>
      </c>
      <c r="R31" s="2">
        <v>0</v>
      </c>
      <c r="S31" s="2">
        <v>2807.279</v>
      </c>
      <c r="T31" s="2">
        <v>0</v>
      </c>
      <c r="U31" s="2">
        <v>0</v>
      </c>
      <c r="V31" s="2">
        <v>116346.933</v>
      </c>
      <c r="W31" s="2">
        <v>119768</v>
      </c>
      <c r="X31" s="2">
        <v>41260</v>
      </c>
      <c r="Y31" s="2">
        <v>0</v>
      </c>
      <c r="Z31" s="2">
        <v>97123.159</v>
      </c>
      <c r="AA31" s="2">
        <v>24125</v>
      </c>
      <c r="AB31" s="2">
        <v>0</v>
      </c>
      <c r="AC31" s="2">
        <v>30236.702</v>
      </c>
      <c r="AD31" s="2">
        <v>89621.227</v>
      </c>
      <c r="AE31" s="2">
        <f>109188.016+42925</f>
        <v>152113.016</v>
      </c>
      <c r="AF31" s="2">
        <v>0</v>
      </c>
      <c r="AG31" s="2">
        <v>1700</v>
      </c>
      <c r="AH31" s="2">
        <v>0</v>
      </c>
      <c r="AI31" s="2">
        <v>900</v>
      </c>
      <c r="AJ31" s="2">
        <v>4600</v>
      </c>
      <c r="AK31" s="2">
        <v>0</v>
      </c>
      <c r="AL31" s="2">
        <v>27211.109</v>
      </c>
      <c r="AM31" s="2">
        <v>8250</v>
      </c>
      <c r="AN31" s="2">
        <v>40656.04</v>
      </c>
      <c r="AO31" s="2">
        <v>0</v>
      </c>
      <c r="AP31" s="2">
        <f>80445.092+20020</f>
        <v>100465.092</v>
      </c>
      <c r="AQ31" s="2">
        <v>31000</v>
      </c>
      <c r="AR31" s="2">
        <v>0</v>
      </c>
      <c r="AS31" s="2">
        <v>23852</v>
      </c>
      <c r="AT31" s="2">
        <v>0</v>
      </c>
      <c r="AU31" s="2">
        <v>7250</v>
      </c>
      <c r="AV31" s="2">
        <v>0</v>
      </c>
      <c r="AW31" s="2">
        <v>41372</v>
      </c>
      <c r="AX31" s="2">
        <v>0</v>
      </c>
      <c r="AY31" s="2">
        <v>0</v>
      </c>
      <c r="AZ31" s="2">
        <v>8400</v>
      </c>
      <c r="BA31" s="2">
        <v>15900</v>
      </c>
      <c r="BB31" s="2">
        <v>0</v>
      </c>
      <c r="BC31" s="2">
        <v>0</v>
      </c>
      <c r="BD31" s="2">
        <v>0</v>
      </c>
      <c r="BE31" s="2">
        <v>0</v>
      </c>
      <c r="BF31" s="2">
        <v>0</v>
      </c>
      <c r="BG31" s="2">
        <v>0</v>
      </c>
      <c r="BH31" s="2">
        <v>0</v>
      </c>
      <c r="BI31" s="2">
        <v>0</v>
      </c>
      <c r="BL31" s="2">
        <f t="shared" si="8"/>
        <v>11802214.510999998</v>
      </c>
      <c r="BM31" s="2"/>
      <c r="BN31" s="2">
        <f t="shared" si="2"/>
        <v>2780849.9410000006</v>
      </c>
      <c r="BO31" s="2">
        <f t="shared" si="9"/>
        <v>9021364.569999998</v>
      </c>
      <c r="BP31" s="2"/>
    </row>
    <row r="32" spans="1:68" ht="12.75">
      <c r="A32" s="49" t="s">
        <v>467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59645.522</v>
      </c>
      <c r="H32" s="2">
        <v>0</v>
      </c>
      <c r="I32" s="2">
        <v>0</v>
      </c>
      <c r="J32" s="2">
        <v>19757.749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f>862853.332+21033.18</f>
        <v>883886.5120000001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11568.96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1888.752</v>
      </c>
      <c r="AJ32" s="2">
        <v>0</v>
      </c>
      <c r="AK32" s="2">
        <v>0</v>
      </c>
      <c r="AL32" s="2">
        <v>0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11131.672</v>
      </c>
      <c r="AU32" s="2">
        <v>0</v>
      </c>
      <c r="AV32" s="2">
        <v>0</v>
      </c>
      <c r="AW32" s="2">
        <v>0</v>
      </c>
      <c r="AX32" s="2">
        <v>0</v>
      </c>
      <c r="AY32" s="2">
        <v>0</v>
      </c>
      <c r="AZ32" s="2">
        <v>0</v>
      </c>
      <c r="BA32" s="2">
        <v>0</v>
      </c>
      <c r="BB32" s="2">
        <v>0</v>
      </c>
      <c r="BC32" s="2">
        <v>0</v>
      </c>
      <c r="BD32" s="2">
        <v>0</v>
      </c>
      <c r="BE32" s="2">
        <v>0</v>
      </c>
      <c r="BF32" s="2">
        <v>0</v>
      </c>
      <c r="BG32" s="2">
        <v>0</v>
      </c>
      <c r="BH32" s="2">
        <v>0</v>
      </c>
      <c r="BI32" s="2">
        <v>0</v>
      </c>
      <c r="BL32" s="2">
        <f t="shared" si="8"/>
        <v>987879.167</v>
      </c>
      <c r="BM32" s="2"/>
      <c r="BN32" s="2">
        <f t="shared" si="2"/>
        <v>0</v>
      </c>
      <c r="BO32" s="2">
        <f t="shared" si="9"/>
        <v>987879.167</v>
      </c>
      <c r="BP32" s="2"/>
    </row>
    <row r="33" spans="1:68" ht="12.75">
      <c r="A33" s="22" t="s">
        <v>484</v>
      </c>
      <c r="B33" s="2">
        <v>12093.48</v>
      </c>
      <c r="C33" s="2">
        <v>0</v>
      </c>
      <c r="D33" s="2">
        <v>62946.392</v>
      </c>
      <c r="E33" s="2">
        <v>0</v>
      </c>
      <c r="F33" s="2">
        <v>1513.451</v>
      </c>
      <c r="G33" s="2">
        <v>233.333</v>
      </c>
      <c r="H33" s="2">
        <v>7058.456</v>
      </c>
      <c r="I33" s="2">
        <v>0</v>
      </c>
      <c r="J33" s="2">
        <v>443.402</v>
      </c>
      <c r="K33" s="2">
        <v>0</v>
      </c>
      <c r="L33" s="2">
        <v>905.908</v>
      </c>
      <c r="M33" s="2">
        <v>0</v>
      </c>
      <c r="N33" s="2">
        <v>0</v>
      </c>
      <c r="O33" s="2">
        <v>0</v>
      </c>
      <c r="P33" s="2">
        <v>3784.768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194.22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">
        <v>251.296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2">
        <v>0</v>
      </c>
      <c r="AR33" s="2">
        <v>40053.884</v>
      </c>
      <c r="AS33" s="2">
        <v>0</v>
      </c>
      <c r="AT33" s="2">
        <v>0</v>
      </c>
      <c r="AU33" s="2">
        <v>0</v>
      </c>
      <c r="AV33" s="2">
        <v>0</v>
      </c>
      <c r="AW33" s="2">
        <v>10670.445</v>
      </c>
      <c r="AX33" s="2">
        <v>0</v>
      </c>
      <c r="AY33" s="2">
        <v>0</v>
      </c>
      <c r="AZ33" s="2">
        <v>0</v>
      </c>
      <c r="BA33" s="2">
        <v>0</v>
      </c>
      <c r="BB33" s="2">
        <v>0</v>
      </c>
      <c r="BC33" s="2">
        <v>0</v>
      </c>
      <c r="BD33" s="2">
        <v>0</v>
      </c>
      <c r="BE33" s="2">
        <v>0</v>
      </c>
      <c r="BF33" s="2">
        <v>0</v>
      </c>
      <c r="BG33" s="2">
        <v>0</v>
      </c>
      <c r="BH33" s="2">
        <v>0</v>
      </c>
      <c r="BI33" s="2">
        <v>0</v>
      </c>
      <c r="BL33" s="2">
        <f t="shared" si="8"/>
        <v>140149.035</v>
      </c>
      <c r="BM33" s="2"/>
      <c r="BN33" s="2">
        <f t="shared" si="2"/>
        <v>10670.445</v>
      </c>
      <c r="BO33" s="2">
        <f t="shared" si="9"/>
        <v>129478.59</v>
      </c>
      <c r="BP33" s="2"/>
    </row>
    <row r="34" spans="1:68" ht="12.75">
      <c r="A34" s="22" t="s">
        <v>351</v>
      </c>
      <c r="B34" s="2">
        <v>0</v>
      </c>
      <c r="C34" s="2">
        <v>4440.29</v>
      </c>
      <c r="D34" s="2">
        <v>0</v>
      </c>
      <c r="E34" s="2">
        <v>20657.566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34779.533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544.507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>
        <v>0</v>
      </c>
      <c r="AE34" s="2">
        <v>0</v>
      </c>
      <c r="AF34" s="2">
        <v>0</v>
      </c>
      <c r="AG34" s="2">
        <v>0</v>
      </c>
      <c r="AH34" s="2">
        <v>0</v>
      </c>
      <c r="AI34" s="2">
        <v>0</v>
      </c>
      <c r="AJ34" s="2">
        <v>0</v>
      </c>
      <c r="AK34" s="2">
        <v>0</v>
      </c>
      <c r="AL34" s="2">
        <v>0</v>
      </c>
      <c r="AM34" s="2">
        <v>0</v>
      </c>
      <c r="AN34" s="2">
        <v>0</v>
      </c>
      <c r="AO34" s="2">
        <v>0</v>
      </c>
      <c r="AP34" s="2">
        <v>0</v>
      </c>
      <c r="AQ34" s="2">
        <v>0</v>
      </c>
      <c r="AR34" s="2">
        <v>0</v>
      </c>
      <c r="AS34" s="2">
        <v>0</v>
      </c>
      <c r="AT34" s="2">
        <v>0</v>
      </c>
      <c r="AU34" s="2">
        <v>0</v>
      </c>
      <c r="AV34" s="2">
        <v>0</v>
      </c>
      <c r="AW34" s="2">
        <v>0</v>
      </c>
      <c r="AX34" s="2">
        <v>0</v>
      </c>
      <c r="AY34" s="2">
        <v>0</v>
      </c>
      <c r="AZ34" s="2">
        <v>0</v>
      </c>
      <c r="BA34" s="2">
        <v>0</v>
      </c>
      <c r="BB34" s="2">
        <v>0</v>
      </c>
      <c r="BC34" s="2">
        <v>0</v>
      </c>
      <c r="BD34" s="2">
        <v>0</v>
      </c>
      <c r="BE34" s="2">
        <v>0</v>
      </c>
      <c r="BF34" s="2">
        <v>0</v>
      </c>
      <c r="BG34" s="2">
        <v>0</v>
      </c>
      <c r="BH34" s="2">
        <v>0</v>
      </c>
      <c r="BI34" s="2">
        <v>0</v>
      </c>
      <c r="BL34" s="2">
        <f t="shared" si="8"/>
        <v>60421.896</v>
      </c>
      <c r="BM34" s="2"/>
      <c r="BN34" s="2">
        <f t="shared" si="2"/>
        <v>4984.797</v>
      </c>
      <c r="BO34" s="2">
        <f t="shared" si="9"/>
        <v>55437.099</v>
      </c>
      <c r="BP34" s="2"/>
    </row>
    <row r="35" spans="1:68" ht="12.75">
      <c r="A35" s="22" t="s">
        <v>457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  <c r="W35" s="2">
        <v>0</v>
      </c>
      <c r="X35" s="2">
        <v>0</v>
      </c>
      <c r="Y35" s="2">
        <v>0</v>
      </c>
      <c r="Z35" s="2">
        <v>0</v>
      </c>
      <c r="AA35" s="2">
        <v>0</v>
      </c>
      <c r="AB35" s="2">
        <v>0</v>
      </c>
      <c r="AC35" s="2">
        <v>0</v>
      </c>
      <c r="AD35" s="2">
        <v>0</v>
      </c>
      <c r="AE35" s="2">
        <v>0</v>
      </c>
      <c r="AF35" s="2">
        <v>0</v>
      </c>
      <c r="AG35" s="2">
        <v>0</v>
      </c>
      <c r="AH35" s="2">
        <v>0</v>
      </c>
      <c r="AI35" s="2">
        <v>0</v>
      </c>
      <c r="AJ35" s="2">
        <v>0</v>
      </c>
      <c r="AK35" s="2">
        <v>0</v>
      </c>
      <c r="AL35" s="2">
        <v>0</v>
      </c>
      <c r="AM35" s="2">
        <v>0</v>
      </c>
      <c r="AN35" s="2">
        <v>0</v>
      </c>
      <c r="AO35" s="2">
        <v>0</v>
      </c>
      <c r="AP35" s="2">
        <v>0</v>
      </c>
      <c r="AQ35" s="2">
        <v>0</v>
      </c>
      <c r="AR35" s="2">
        <v>0</v>
      </c>
      <c r="AS35" s="2">
        <v>0</v>
      </c>
      <c r="AT35" s="2">
        <v>0</v>
      </c>
      <c r="AU35" s="2">
        <v>0</v>
      </c>
      <c r="AV35" s="2">
        <v>0</v>
      </c>
      <c r="AW35" s="2">
        <v>0</v>
      </c>
      <c r="AX35" s="2">
        <v>0</v>
      </c>
      <c r="AY35" s="2">
        <v>0</v>
      </c>
      <c r="AZ35" s="2">
        <v>0</v>
      </c>
      <c r="BA35" s="2">
        <v>0</v>
      </c>
      <c r="BB35" s="2">
        <v>0</v>
      </c>
      <c r="BC35" s="2">
        <v>0</v>
      </c>
      <c r="BD35" s="2">
        <v>0</v>
      </c>
      <c r="BE35" s="2">
        <v>0</v>
      </c>
      <c r="BF35" s="2">
        <v>0</v>
      </c>
      <c r="BG35" s="2">
        <v>0</v>
      </c>
      <c r="BH35" s="2">
        <v>0</v>
      </c>
      <c r="BI35" s="2">
        <v>0</v>
      </c>
      <c r="BL35" s="2">
        <f t="shared" si="8"/>
        <v>0</v>
      </c>
      <c r="BM35" s="2"/>
      <c r="BN35" s="2">
        <f t="shared" si="2"/>
        <v>0</v>
      </c>
      <c r="BO35" s="2">
        <f t="shared" si="9"/>
        <v>0</v>
      </c>
      <c r="BP35" s="2"/>
    </row>
    <row r="36" spans="1:68" ht="12.75">
      <c r="A36" s="50" t="s">
        <v>412</v>
      </c>
      <c r="B36" s="41">
        <f>SUM(B29:B35)</f>
        <v>14854847.404000001</v>
      </c>
      <c r="C36" s="41">
        <f>SUM(C29:C35)</f>
        <v>15697290.978999998</v>
      </c>
      <c r="D36" s="41">
        <f>SUM(D29:D35)</f>
        <v>10659112.518000001</v>
      </c>
      <c r="E36" s="41">
        <f>SUM(E29:E35)</f>
        <v>17350748.049</v>
      </c>
      <c r="F36" s="41">
        <f aca="true" t="shared" si="10" ref="F36:AH36">SUM(F29:F35)</f>
        <v>7563231.785</v>
      </c>
      <c r="G36" s="41">
        <f t="shared" si="10"/>
        <v>1603373.315</v>
      </c>
      <c r="H36" s="41">
        <f t="shared" si="10"/>
        <v>3248206.303</v>
      </c>
      <c r="I36" s="41">
        <f t="shared" si="10"/>
        <v>9022632.071999999</v>
      </c>
      <c r="J36" s="41">
        <f t="shared" si="10"/>
        <v>2909184.624</v>
      </c>
      <c r="K36" s="41">
        <f t="shared" si="10"/>
        <v>4555250.447</v>
      </c>
      <c r="L36" s="41">
        <f t="shared" si="10"/>
        <v>5021266.727</v>
      </c>
      <c r="M36" s="41">
        <f>SUM(M29:M35)</f>
        <v>2645988.6270000003</v>
      </c>
      <c r="N36" s="41">
        <f t="shared" si="10"/>
        <v>4067511.316</v>
      </c>
      <c r="O36" s="41">
        <f t="shared" si="10"/>
        <v>4588503.691</v>
      </c>
      <c r="P36" s="41">
        <f>SUM(P29:P35)</f>
        <v>1216189.6730000002</v>
      </c>
      <c r="Q36" s="41">
        <f t="shared" si="10"/>
        <v>5050734.611</v>
      </c>
      <c r="R36" s="41">
        <f t="shared" si="10"/>
        <v>1811129.1319999998</v>
      </c>
      <c r="S36" s="41">
        <f>SUM(S29:S35)</f>
        <v>3142124.739</v>
      </c>
      <c r="T36" s="41">
        <f t="shared" si="10"/>
        <v>1583190.493</v>
      </c>
      <c r="U36" s="41">
        <f>SUM(U29:U35)</f>
        <v>3958472.854</v>
      </c>
      <c r="V36" s="41">
        <f>SUM(V29:V35)</f>
        <v>1257783.4949999999</v>
      </c>
      <c r="W36" s="41">
        <f t="shared" si="10"/>
        <v>2964356.606</v>
      </c>
      <c r="X36" s="41">
        <f>SUM(X29:X35)</f>
        <v>1282333.463</v>
      </c>
      <c r="Y36" s="41">
        <f>SUM(Y29:Y35)</f>
        <v>3588241</v>
      </c>
      <c r="Z36" s="41">
        <f t="shared" si="10"/>
        <v>1306371.978</v>
      </c>
      <c r="AA36" s="41">
        <f t="shared" si="10"/>
        <v>3199256.527</v>
      </c>
      <c r="AB36" s="41">
        <f>SUM(AB29:AB35)</f>
        <v>4744221.775</v>
      </c>
      <c r="AC36" s="41">
        <f>SUM(AC29:AC35)</f>
        <v>451945.54899999994</v>
      </c>
      <c r="AD36" s="41">
        <f t="shared" si="10"/>
        <v>324668.492</v>
      </c>
      <c r="AE36" s="41">
        <f>SUM(AE29:AE35)</f>
        <v>1494231.342</v>
      </c>
      <c r="AF36" s="41">
        <f t="shared" si="10"/>
        <v>415045.21</v>
      </c>
      <c r="AG36" s="41">
        <f t="shared" si="10"/>
        <v>250486.33</v>
      </c>
      <c r="AH36" s="41">
        <f t="shared" si="10"/>
        <v>572278.46</v>
      </c>
      <c r="AI36" s="41">
        <f>SUM(AI29:AI35)</f>
        <v>801674.1749999999</v>
      </c>
      <c r="AJ36" s="41">
        <f aca="true" t="shared" si="11" ref="AJ36:BI36">SUM(AJ29:AJ35)</f>
        <v>476616.12</v>
      </c>
      <c r="AK36" s="41">
        <f t="shared" si="11"/>
        <v>251.296</v>
      </c>
      <c r="AL36" s="41">
        <f>SUM(AL29:AL35)</f>
        <v>247137.436</v>
      </c>
      <c r="AM36" s="41">
        <f t="shared" si="11"/>
        <v>577398.0989999999</v>
      </c>
      <c r="AN36" s="41">
        <f t="shared" si="11"/>
        <v>296873.057</v>
      </c>
      <c r="AO36" s="41">
        <f t="shared" si="11"/>
        <v>421259.396</v>
      </c>
      <c r="AP36" s="41">
        <f t="shared" si="11"/>
        <v>177394.81100000002</v>
      </c>
      <c r="AQ36" s="41">
        <f t="shared" si="11"/>
        <v>894580.672</v>
      </c>
      <c r="AR36" s="41">
        <f>SUM(AR29:AR35)</f>
        <v>718458.254</v>
      </c>
      <c r="AS36" s="41">
        <f t="shared" si="11"/>
        <v>215085.919</v>
      </c>
      <c r="AT36" s="41">
        <f t="shared" si="11"/>
        <v>154774.60199999998</v>
      </c>
      <c r="AU36" s="41">
        <f t="shared" si="11"/>
        <v>160424.405</v>
      </c>
      <c r="AV36" s="41">
        <f t="shared" si="11"/>
        <v>269197.562</v>
      </c>
      <c r="AW36" s="41">
        <f>SUM(AW29:AW35)</f>
        <v>399973.762</v>
      </c>
      <c r="AX36" s="41">
        <f t="shared" si="11"/>
        <v>158724.91199999998</v>
      </c>
      <c r="AY36" s="41">
        <f>SUM(AY29:AY35)</f>
        <v>104840.814</v>
      </c>
      <c r="AZ36" s="41">
        <f>SUM(AZ29:AZ35)</f>
        <v>88888.471</v>
      </c>
      <c r="BA36" s="41">
        <f t="shared" si="11"/>
        <v>31272</v>
      </c>
      <c r="BB36" s="41">
        <f t="shared" si="11"/>
        <v>42210</v>
      </c>
      <c r="BC36" s="41">
        <f>SUM(BC29:BC35)</f>
        <v>43499.359</v>
      </c>
      <c r="BD36" s="41">
        <f>SUM(BD29:BD35)</f>
        <v>3800</v>
      </c>
      <c r="BE36" s="41">
        <f t="shared" si="11"/>
        <v>0</v>
      </c>
      <c r="BF36" s="41">
        <f>SUM(BF29:BF35)</f>
        <v>0</v>
      </c>
      <c r="BG36" s="41">
        <f>SUM(BG29:BG35)</f>
        <v>10000</v>
      </c>
      <c r="BH36" s="41">
        <f t="shared" si="11"/>
        <v>37606.156</v>
      </c>
      <c r="BI36" s="41">
        <f t="shared" si="11"/>
        <v>0</v>
      </c>
      <c r="BL36" s="2">
        <f t="shared" si="8"/>
        <v>148732150.86400005</v>
      </c>
      <c r="BM36" s="2"/>
      <c r="BN36" s="2">
        <f t="shared" si="2"/>
        <v>19246671.851</v>
      </c>
      <c r="BO36" s="2">
        <f t="shared" si="9"/>
        <v>129485479.013</v>
      </c>
      <c r="BP36" s="41"/>
    </row>
    <row r="37" spans="1:67" ht="8.25" customHeight="1">
      <c r="A37" s="22"/>
      <c r="BL37" s="2"/>
      <c r="BM37" s="2"/>
      <c r="BN37" s="2"/>
      <c r="BO37" s="2"/>
    </row>
    <row r="38" spans="1:68" ht="12.75">
      <c r="A38" s="23" t="s">
        <v>488</v>
      </c>
      <c r="B38" s="41">
        <f>B26-B36</f>
        <v>-233815.56499999948</v>
      </c>
      <c r="C38" s="41">
        <f>C26-C36</f>
        <v>-245180.08399999514</v>
      </c>
      <c r="D38" s="41">
        <f>D26-D36</f>
        <v>-19041.580000000075</v>
      </c>
      <c r="E38" s="41">
        <f>E26-E36</f>
        <v>578013.2520000003</v>
      </c>
      <c r="F38" s="41">
        <f aca="true" t="shared" si="12" ref="F38:AH38">F26-F36</f>
        <v>-131994.19900000095</v>
      </c>
      <c r="G38" s="41">
        <f t="shared" si="12"/>
        <v>5173.523999999976</v>
      </c>
      <c r="H38" s="41">
        <f t="shared" si="12"/>
        <v>-12833.415000000037</v>
      </c>
      <c r="I38" s="41">
        <f t="shared" si="12"/>
        <v>-370432.9910000004</v>
      </c>
      <c r="J38" s="41">
        <f t="shared" si="12"/>
        <v>28494.661000000313</v>
      </c>
      <c r="K38" s="41">
        <f t="shared" si="12"/>
        <v>-10781.516999999061</v>
      </c>
      <c r="L38" s="41">
        <f t="shared" si="12"/>
        <v>25705.768000000156</v>
      </c>
      <c r="M38" s="41">
        <f>M26-M36</f>
        <v>19211.53999999957</v>
      </c>
      <c r="N38" s="41">
        <f t="shared" si="12"/>
        <v>5076.831000000238</v>
      </c>
      <c r="O38" s="41">
        <f t="shared" si="12"/>
        <v>-103019.9869999988</v>
      </c>
      <c r="P38" s="41">
        <f>P26-P36</f>
        <v>-4182.446000000462</v>
      </c>
      <c r="Q38" s="41">
        <f t="shared" si="12"/>
        <v>340896.7130000014</v>
      </c>
      <c r="R38" s="41">
        <f t="shared" si="12"/>
        <v>129920.92000000016</v>
      </c>
      <c r="S38" s="41">
        <f>S26-S36</f>
        <v>-4160.475000000559</v>
      </c>
      <c r="T38" s="41">
        <f t="shared" si="12"/>
        <v>35495.80700000003</v>
      </c>
      <c r="U38" s="41">
        <f>U26-U36</f>
        <v>82316.45900000073</v>
      </c>
      <c r="V38" s="41">
        <f>V26-V36</f>
        <v>110122.77700000023</v>
      </c>
      <c r="W38" s="41">
        <f t="shared" si="12"/>
        <v>-16527.817000000272</v>
      </c>
      <c r="X38" s="41">
        <f>X26-X36</f>
        <v>-13396.214999999851</v>
      </c>
      <c r="Y38" s="41">
        <f>Y26-Y36</f>
        <v>22620</v>
      </c>
      <c r="Z38" s="41">
        <f t="shared" si="12"/>
        <v>3357.4210000000894</v>
      </c>
      <c r="AA38" s="41">
        <f t="shared" si="12"/>
        <v>2198.028999999631</v>
      </c>
      <c r="AB38" s="41">
        <f>AB26-AB36</f>
        <v>-75276.4000000013</v>
      </c>
      <c r="AC38" s="41">
        <f>AC26-AC36</f>
        <v>38758.85400000005</v>
      </c>
      <c r="AD38" s="41">
        <f t="shared" si="12"/>
        <v>3018.0079999997397</v>
      </c>
      <c r="AE38" s="41">
        <f>AE26-AE36</f>
        <v>131207.03500000038</v>
      </c>
      <c r="AF38" s="41">
        <f t="shared" si="12"/>
        <v>20773.88400000002</v>
      </c>
      <c r="AG38" s="41">
        <f t="shared" si="12"/>
        <v>-19430.22999999998</v>
      </c>
      <c r="AH38" s="41">
        <f t="shared" si="12"/>
        <v>-28331.63699999987</v>
      </c>
      <c r="AI38" s="41">
        <f>AI26-AI36</f>
        <v>64736.24700000009</v>
      </c>
      <c r="AJ38" s="41">
        <f aca="true" t="shared" si="13" ref="AJ38:BI38">AJ26-AJ36</f>
        <v>4796.848999999929</v>
      </c>
      <c r="AK38" s="41">
        <f t="shared" si="13"/>
        <v>222829.692</v>
      </c>
      <c r="AL38" s="41">
        <f>AL26-AL36</f>
        <v>-1210.2639999999665</v>
      </c>
      <c r="AM38" s="41">
        <f t="shared" si="13"/>
        <v>-9397.941999999923</v>
      </c>
      <c r="AN38" s="41">
        <f t="shared" si="13"/>
        <v>-17570.445999999938</v>
      </c>
      <c r="AO38" s="41">
        <f t="shared" si="13"/>
        <v>-923.7849999999744</v>
      </c>
      <c r="AP38" s="41">
        <f t="shared" si="13"/>
        <v>-1718.2690000000002</v>
      </c>
      <c r="AQ38" s="41">
        <f t="shared" si="13"/>
        <v>2048.809000000125</v>
      </c>
      <c r="AR38" s="41">
        <f>AR26-AR36</f>
        <v>-846.9670000000624</v>
      </c>
      <c r="AS38" s="41">
        <f t="shared" si="13"/>
        <v>3550.8160000000207</v>
      </c>
      <c r="AT38" s="41">
        <f t="shared" si="13"/>
        <v>33447.330000000045</v>
      </c>
      <c r="AU38" s="41">
        <f t="shared" si="13"/>
        <v>1862.8480000000272</v>
      </c>
      <c r="AV38" s="41">
        <f t="shared" si="13"/>
        <v>-454.1589999999269</v>
      </c>
      <c r="AW38" s="41">
        <f>AW26-AW36</f>
        <v>23333.592000000004</v>
      </c>
      <c r="AX38" s="41">
        <f t="shared" si="13"/>
        <v>-1385.7669999999634</v>
      </c>
      <c r="AY38" s="41">
        <f>AY26-AY36</f>
        <v>454.57900000001246</v>
      </c>
      <c r="AZ38" s="41">
        <f>AZ26-AZ36</f>
        <v>-6848.099000000002</v>
      </c>
      <c r="BA38" s="41">
        <f t="shared" si="13"/>
        <v>11756.971000000012</v>
      </c>
      <c r="BB38" s="41">
        <f t="shared" si="13"/>
        <v>-10076.163</v>
      </c>
      <c r="BC38" s="41">
        <f>BC26-BC36</f>
        <v>-2357.948000000004</v>
      </c>
      <c r="BD38" s="41">
        <f>BD26-BD36</f>
        <v>17762.43</v>
      </c>
      <c r="BE38" s="41">
        <f t="shared" si="13"/>
        <v>-7282.219000000012</v>
      </c>
      <c r="BF38" s="41">
        <f>BF26-BF36</f>
        <v>-829.6889999999985</v>
      </c>
      <c r="BG38" s="41">
        <f>BG26-BG36</f>
        <v>-14027.687000000002</v>
      </c>
      <c r="BH38" s="41">
        <f t="shared" si="13"/>
        <v>127.31699999999546</v>
      </c>
      <c r="BI38" s="41">
        <f t="shared" si="13"/>
        <v>408.53700000000003</v>
      </c>
      <c r="BL38" s="2">
        <f>SUM(B38:BJ38)</f>
        <v>606143.5380000073</v>
      </c>
      <c r="BM38" s="2"/>
      <c r="BN38" s="2">
        <f t="shared" si="2"/>
        <v>-171384.13299999497</v>
      </c>
      <c r="BO38" s="2">
        <f>B38+D38+E38+F38+G38+H38+I38+J38+K38+L38+M38+N38+O38+P38+Q38+R38+S38+T38+U38+W38+X38+Y38+Z38+AA38+AB38+AC38+AE38+AF38+AG38+AI38+AJ38+AK38+AL38+AM38+AO38+AQ38+AT38+AV38+AX38+AY38+BA38+BC38+BH38+BI38+AR38+BF38</f>
        <v>777527.6710000022</v>
      </c>
      <c r="BP38" s="41"/>
    </row>
    <row r="39" spans="1:67" ht="8.25" customHeight="1">
      <c r="A39" s="23"/>
      <c r="BL39" s="2"/>
      <c r="BM39" s="2"/>
      <c r="BN39" s="2"/>
      <c r="BO39" s="2"/>
    </row>
    <row r="40" spans="1:68" ht="12.75">
      <c r="A40" s="23" t="s">
        <v>489</v>
      </c>
      <c r="B40" s="41">
        <v>548309.433</v>
      </c>
      <c r="C40" s="41">
        <v>1357131.692</v>
      </c>
      <c r="D40" s="41">
        <v>231457.696</v>
      </c>
      <c r="E40" s="41">
        <v>191109.136</v>
      </c>
      <c r="F40" s="41">
        <v>465242.296</v>
      </c>
      <c r="G40" s="41">
        <v>98823.498</v>
      </c>
      <c r="H40" s="41">
        <v>50454.201</v>
      </c>
      <c r="I40" s="41">
        <v>1145292.127</v>
      </c>
      <c r="J40" s="41">
        <v>96035.2</v>
      </c>
      <c r="K40" s="41">
        <v>81272.257</v>
      </c>
      <c r="L40" s="41">
        <v>64828.034</v>
      </c>
      <c r="M40" s="41">
        <v>4648.818</v>
      </c>
      <c r="N40" s="41">
        <v>54967.895</v>
      </c>
      <c r="O40" s="41">
        <v>136198.941</v>
      </c>
      <c r="P40" s="41">
        <v>10784.666</v>
      </c>
      <c r="Q40" s="41">
        <v>66759.728</v>
      </c>
      <c r="R40" s="41">
        <v>11528.266</v>
      </c>
      <c r="S40" s="41">
        <v>93022.386</v>
      </c>
      <c r="T40" s="41">
        <v>228004.128</v>
      </c>
      <c r="U40" s="41">
        <v>3696.088</v>
      </c>
      <c r="V40" s="41">
        <v>39600.987</v>
      </c>
      <c r="W40" s="41">
        <v>36289.047</v>
      </c>
      <c r="X40" s="41">
        <v>37256.477</v>
      </c>
      <c r="Y40" s="41">
        <v>12281</v>
      </c>
      <c r="Z40" s="41">
        <v>18466.397</v>
      </c>
      <c r="AA40" s="41">
        <v>19021.458</v>
      </c>
      <c r="AB40" s="41">
        <v>78029.369</v>
      </c>
      <c r="AC40" s="41">
        <v>597180.845</v>
      </c>
      <c r="AD40" s="41">
        <v>0</v>
      </c>
      <c r="AE40" s="41">
        <v>10484.07</v>
      </c>
      <c r="AF40" s="41">
        <v>21327.903</v>
      </c>
      <c r="AG40" s="41">
        <v>21151.078</v>
      </c>
      <c r="AH40" s="41">
        <v>35951.203</v>
      </c>
      <c r="AI40" s="41">
        <v>15189.951</v>
      </c>
      <c r="AJ40" s="41">
        <v>3469.068</v>
      </c>
      <c r="AK40" s="41">
        <v>161413.967</v>
      </c>
      <c r="AL40" s="41">
        <v>11525.178</v>
      </c>
      <c r="AM40" s="41">
        <v>12613.4</v>
      </c>
      <c r="AN40" s="41">
        <v>94276.967</v>
      </c>
      <c r="AO40" s="41">
        <v>2993.084</v>
      </c>
      <c r="AP40" s="41">
        <f>12004.157+11.977</f>
        <v>12016.134</v>
      </c>
      <c r="AQ40" s="41">
        <v>1681.894</v>
      </c>
      <c r="AR40" s="41">
        <v>26390.722</v>
      </c>
      <c r="AS40" s="41">
        <v>6711.81</v>
      </c>
      <c r="AT40" s="41">
        <v>14740.2</v>
      </c>
      <c r="AU40" s="41">
        <v>1239.347</v>
      </c>
      <c r="AV40" s="41">
        <v>1047.721</v>
      </c>
      <c r="AW40" s="41">
        <v>6743.89</v>
      </c>
      <c r="AX40" s="41">
        <v>1429.025</v>
      </c>
      <c r="AY40" s="41">
        <v>801.369</v>
      </c>
      <c r="AZ40" s="41">
        <v>50793.773</v>
      </c>
      <c r="BA40" s="41">
        <v>11459.084</v>
      </c>
      <c r="BB40" s="41">
        <v>29103.702</v>
      </c>
      <c r="BC40" s="41">
        <v>4291.818</v>
      </c>
      <c r="BD40" s="41">
        <v>40693.966</v>
      </c>
      <c r="BE40" s="41">
        <v>50191.375</v>
      </c>
      <c r="BF40" s="41">
        <v>2941.022</v>
      </c>
      <c r="BG40" s="41">
        <v>44430.547</v>
      </c>
      <c r="BH40" s="41">
        <v>1600.334</v>
      </c>
      <c r="BI40" s="41">
        <v>335.711</v>
      </c>
      <c r="BL40" s="2">
        <f>SUM(B40:BJ40)</f>
        <v>6476731.378999999</v>
      </c>
      <c r="BM40" s="2"/>
      <c r="BN40" s="2">
        <f t="shared" si="2"/>
        <v>1768885.3930000002</v>
      </c>
      <c r="BO40" s="2">
        <f>B40+D40+E40+F40+G40+H40+I40+J40+K40+L40+M40+N40+O40+P40+Q40+R40+S40+T40+U40+W40+X40+Y40+Z40+AA40+AB40+AC40+AE40+AF40+AG40+AI40+AJ40+AK40+AL40+AM40+AO40+AQ40+AT40+AV40+AX40+AY40+BA40+BC40+BH40+BI40+AR40+BF40</f>
        <v>4707845.986000001</v>
      </c>
      <c r="BP40" s="41"/>
    </row>
    <row r="41" spans="1:67" ht="7.5" customHeight="1">
      <c r="A41" s="51"/>
      <c r="BL41" s="2"/>
      <c r="BM41" s="2"/>
      <c r="BN41" s="2"/>
      <c r="BO41" s="2"/>
    </row>
    <row r="42" spans="1:68" ht="12.75">
      <c r="A42" s="51" t="s">
        <v>490</v>
      </c>
      <c r="B42" s="41">
        <f>B38+B40</f>
        <v>314493.8680000005</v>
      </c>
      <c r="C42" s="41">
        <f>C38+C40</f>
        <v>1111951.608000005</v>
      </c>
      <c r="D42" s="41">
        <f aca="true" t="shared" si="14" ref="D42:BI42">D38+D40</f>
        <v>212416.11599999992</v>
      </c>
      <c r="E42" s="41">
        <f>E38+E40</f>
        <v>769122.3880000003</v>
      </c>
      <c r="F42" s="41">
        <f t="shared" si="14"/>
        <v>333248.096999999</v>
      </c>
      <c r="G42" s="41">
        <f t="shared" si="14"/>
        <v>103997.02199999998</v>
      </c>
      <c r="H42" s="41">
        <f t="shared" si="14"/>
        <v>37620.785999999964</v>
      </c>
      <c r="I42" s="41">
        <f t="shared" si="14"/>
        <v>774859.1359999997</v>
      </c>
      <c r="J42" s="41">
        <f t="shared" si="14"/>
        <v>124529.86100000031</v>
      </c>
      <c r="K42" s="41">
        <f t="shared" si="14"/>
        <v>70490.74000000094</v>
      </c>
      <c r="L42" s="41">
        <f t="shared" si="14"/>
        <v>90533.80200000016</v>
      </c>
      <c r="M42" s="41">
        <f>M38+M40</f>
        <v>23860.35799999957</v>
      </c>
      <c r="N42" s="41">
        <f t="shared" si="14"/>
        <v>60044.726000000235</v>
      </c>
      <c r="O42" s="41">
        <f t="shared" si="14"/>
        <v>33178.95400000119</v>
      </c>
      <c r="P42" s="41">
        <f>P38+P40</f>
        <v>6602.219999999537</v>
      </c>
      <c r="Q42" s="41">
        <f t="shared" si="14"/>
        <v>407656.4410000014</v>
      </c>
      <c r="R42" s="41">
        <f t="shared" si="14"/>
        <v>141449.18600000016</v>
      </c>
      <c r="S42" s="41">
        <f>S38+S40</f>
        <v>88861.91099999944</v>
      </c>
      <c r="T42" s="41">
        <f t="shared" si="14"/>
        <v>263499.93500000006</v>
      </c>
      <c r="U42" s="41">
        <f>U38+U40</f>
        <v>86012.54700000073</v>
      </c>
      <c r="V42" s="41">
        <f>V38+V40</f>
        <v>149723.76400000023</v>
      </c>
      <c r="W42" s="41">
        <f t="shared" si="14"/>
        <v>19761.229999999727</v>
      </c>
      <c r="X42" s="41">
        <f>X38+X40</f>
        <v>23860.262000000148</v>
      </c>
      <c r="Y42" s="41">
        <f>Y38+Y40</f>
        <v>34901</v>
      </c>
      <c r="Z42" s="41">
        <f t="shared" si="14"/>
        <v>21823.81800000009</v>
      </c>
      <c r="AA42" s="41">
        <f t="shared" si="14"/>
        <v>21219.48699999963</v>
      </c>
      <c r="AB42" s="41">
        <f>AB38+AB40</f>
        <v>2752.968999998702</v>
      </c>
      <c r="AC42" s="41">
        <f>AC38+AC40</f>
        <v>635939.699</v>
      </c>
      <c r="AD42" s="41">
        <f t="shared" si="14"/>
        <v>3018.0079999997397</v>
      </c>
      <c r="AE42" s="41">
        <f>AE38+AE40</f>
        <v>141691.1050000004</v>
      </c>
      <c r="AF42" s="41">
        <f t="shared" si="14"/>
        <v>42101.78700000002</v>
      </c>
      <c r="AG42" s="41">
        <f t="shared" si="14"/>
        <v>1720.84800000002</v>
      </c>
      <c r="AH42" s="41">
        <f t="shared" si="14"/>
        <v>7619.56600000013</v>
      </c>
      <c r="AI42" s="41">
        <f>AI38+AI40</f>
        <v>79926.19800000009</v>
      </c>
      <c r="AJ42" s="41">
        <f t="shared" si="14"/>
        <v>8265.916999999929</v>
      </c>
      <c r="AK42" s="41">
        <f t="shared" si="14"/>
        <v>384243.659</v>
      </c>
      <c r="AL42" s="41">
        <f>AL38+AL40</f>
        <v>10314.914000000033</v>
      </c>
      <c r="AM42" s="41">
        <f t="shared" si="14"/>
        <v>3215.458000000077</v>
      </c>
      <c r="AN42" s="41">
        <f t="shared" si="14"/>
        <v>76706.52100000007</v>
      </c>
      <c r="AO42" s="41">
        <f t="shared" si="14"/>
        <v>2069.2990000000254</v>
      </c>
      <c r="AP42" s="41">
        <f t="shared" si="14"/>
        <v>10297.865</v>
      </c>
      <c r="AQ42" s="41">
        <f t="shared" si="14"/>
        <v>3730.703000000125</v>
      </c>
      <c r="AR42" s="41">
        <f>AR38+AR40</f>
        <v>25543.75499999994</v>
      </c>
      <c r="AS42" s="41">
        <f t="shared" si="14"/>
        <v>10262.626000000022</v>
      </c>
      <c r="AT42" s="41">
        <f t="shared" si="14"/>
        <v>48187.53000000004</v>
      </c>
      <c r="AU42" s="41">
        <f t="shared" si="14"/>
        <v>3102.195000000027</v>
      </c>
      <c r="AV42" s="41">
        <f t="shared" si="14"/>
        <v>593.5620000000731</v>
      </c>
      <c r="AW42" s="41">
        <f>AW38+AW40</f>
        <v>30077.482000000004</v>
      </c>
      <c r="AX42" s="41">
        <f t="shared" si="14"/>
        <v>43.258000000036645</v>
      </c>
      <c r="AY42" s="41">
        <f>AY38+AY40</f>
        <v>1255.9480000000126</v>
      </c>
      <c r="AZ42" s="41">
        <f>AZ38+AZ40</f>
        <v>43945.674</v>
      </c>
      <c r="BA42" s="41">
        <f t="shared" si="14"/>
        <v>23216.055000000015</v>
      </c>
      <c r="BB42" s="41">
        <f t="shared" si="14"/>
        <v>19027.539</v>
      </c>
      <c r="BC42" s="41">
        <f>BC38+BC40</f>
        <v>1933.8699999999963</v>
      </c>
      <c r="BD42" s="41">
        <f>BD38+BD40</f>
        <v>58456.396</v>
      </c>
      <c r="BE42" s="41">
        <f t="shared" si="14"/>
        <v>42909.15599999999</v>
      </c>
      <c r="BF42" s="41">
        <f>BF38+BF40</f>
        <v>2111.3330000000014</v>
      </c>
      <c r="BG42" s="41">
        <f>BG38+BG40</f>
        <v>30402.859999999997</v>
      </c>
      <c r="BH42" s="41">
        <f t="shared" si="14"/>
        <v>1727.6509999999955</v>
      </c>
      <c r="BI42" s="41">
        <f t="shared" si="14"/>
        <v>744.248</v>
      </c>
      <c r="BL42" s="2">
        <f>SUM(B42:BJ42)</f>
        <v>7082874.917000006</v>
      </c>
      <c r="BM42" s="2"/>
      <c r="BN42" s="2">
        <f t="shared" si="2"/>
        <v>1597501.2600000051</v>
      </c>
      <c r="BO42" s="2">
        <f>B42+D42+E42+F42+G42+H42+I42+J42+K42+L42+M42+N42+O42+P42+Q42+R42+S42+T42+U42+W42+X42+Y42+Z42+AA42+AB42+AC42+AE42+AF42+AG42+AI42+AJ42+AK42+AL42+AM42+AO42+AQ42+AT42+AV42+AX42+AY42+BA42+BC42+BH42+BI42+AR42+BF42</f>
        <v>5485373.657000001</v>
      </c>
      <c r="BP42" s="41"/>
    </row>
  </sheetData>
  <sheetProtection/>
  <printOptions/>
  <pageMargins left="0.7480314960629921" right="0.7480314960629921" top="1.64" bottom="0.984251968503937" header="0.8" footer="0.5118110236220472"/>
  <pageSetup horizontalDpi="600" verticalDpi="600" orientation="portrait" paperSize="9" r:id="rId1"/>
  <headerFooter alignWithMargins="0">
    <oddHeader>&amp;C&amp;"Times New Roman,Bold"&amp;14 3.3. SJÓÐSTREYMI ÁRIÐ 1999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E91"/>
  <sheetViews>
    <sheetView zoomScalePageLayoutView="0" workbookViewId="0" topLeftCell="A1">
      <pane xSplit="3885" ySplit="1350" topLeftCell="AD1" activePane="bottomRight" state="split"/>
      <selection pane="topLeft" activeCell="BC20" sqref="BC20"/>
      <selection pane="topRight" activeCell="AA1" sqref="AA1:AA3"/>
      <selection pane="bottomLeft" activeCell="A32" sqref="A32"/>
      <selection pane="bottomRight" activeCell="AF1" sqref="AF1"/>
    </sheetView>
  </sheetViews>
  <sheetFormatPr defaultColWidth="9.00390625" defaultRowHeight="12.75"/>
  <cols>
    <col min="1" max="1" width="25.125" style="0" customWidth="1"/>
    <col min="2" max="2" width="2.875" style="0" customWidth="1"/>
    <col min="64" max="64" width="9.625" style="0" customWidth="1"/>
    <col min="65" max="65" width="3.875" style="0" customWidth="1"/>
    <col min="66" max="66" width="9.50390625" style="0" customWidth="1"/>
    <col min="67" max="67" width="9.625" style="0" customWidth="1"/>
    <col min="68" max="68" width="10.00390625" style="0" customWidth="1"/>
  </cols>
  <sheetData>
    <row r="1" spans="1:69" ht="12.75">
      <c r="A1" s="20"/>
      <c r="B1" s="20"/>
      <c r="C1" s="52" t="s">
        <v>0</v>
      </c>
      <c r="D1" s="52" t="s">
        <v>0</v>
      </c>
      <c r="E1" s="52" t="s">
        <v>0</v>
      </c>
      <c r="F1" s="52" t="s">
        <v>1</v>
      </c>
      <c r="G1" s="52" t="s">
        <v>0</v>
      </c>
      <c r="H1" s="52" t="s">
        <v>0</v>
      </c>
      <c r="I1" s="52" t="s">
        <v>2</v>
      </c>
      <c r="J1" s="52" t="s">
        <v>0</v>
      </c>
      <c r="K1" s="52" t="s">
        <v>3</v>
      </c>
      <c r="L1" s="52" t="s">
        <v>0</v>
      </c>
      <c r="M1" s="52" t="s">
        <v>0</v>
      </c>
      <c r="N1" s="52" t="s">
        <v>0</v>
      </c>
      <c r="O1" s="52" t="s">
        <v>0</v>
      </c>
      <c r="P1" s="52" t="s">
        <v>0</v>
      </c>
      <c r="Q1" s="53" t="s">
        <v>0</v>
      </c>
      <c r="R1" s="52" t="s">
        <v>0</v>
      </c>
      <c r="S1" s="52" t="s">
        <v>0</v>
      </c>
      <c r="T1" s="52" t="s">
        <v>5</v>
      </c>
      <c r="U1" s="52" t="s">
        <v>0</v>
      </c>
      <c r="V1" s="52" t="s">
        <v>7</v>
      </c>
      <c r="W1" s="52" t="s">
        <v>0</v>
      </c>
      <c r="X1" s="52" t="s">
        <v>418</v>
      </c>
      <c r="Y1" s="52" t="s">
        <v>0</v>
      </c>
      <c r="Z1" s="52" t="s">
        <v>6</v>
      </c>
      <c r="AA1" s="52" t="s">
        <v>0</v>
      </c>
      <c r="AB1" s="52" t="s">
        <v>0</v>
      </c>
      <c r="AC1" s="52" t="s">
        <v>8</v>
      </c>
      <c r="AD1" s="52" t="s">
        <v>0</v>
      </c>
      <c r="AE1" s="52" t="s">
        <v>0</v>
      </c>
      <c r="AF1" s="52" t="s">
        <v>6</v>
      </c>
      <c r="AG1" s="52" t="s">
        <v>0</v>
      </c>
      <c r="AH1" s="52" t="s">
        <v>0</v>
      </c>
      <c r="AI1" s="52" t="s">
        <v>4</v>
      </c>
      <c r="AJ1" s="52" t="s">
        <v>0</v>
      </c>
      <c r="AK1" s="52" t="s">
        <v>0</v>
      </c>
      <c r="AL1" s="52" t="s">
        <v>0</v>
      </c>
      <c r="AM1" s="52" t="s">
        <v>0</v>
      </c>
      <c r="AN1" s="52" t="s">
        <v>4</v>
      </c>
      <c r="AO1" s="52" t="s">
        <v>0</v>
      </c>
      <c r="AP1" s="52" t="s">
        <v>0</v>
      </c>
      <c r="AQ1" s="52" t="s">
        <v>4</v>
      </c>
      <c r="AR1" s="52" t="s">
        <v>0</v>
      </c>
      <c r="AS1" s="52" t="s">
        <v>54</v>
      </c>
      <c r="AT1" s="52" t="s">
        <v>0</v>
      </c>
      <c r="AU1" s="52" t="s">
        <v>0</v>
      </c>
      <c r="AV1" s="52" t="s">
        <v>0</v>
      </c>
      <c r="AW1" s="52" t="s">
        <v>4</v>
      </c>
      <c r="AX1" s="52" t="s">
        <v>0</v>
      </c>
      <c r="AY1" s="52" t="s">
        <v>4</v>
      </c>
      <c r="AZ1" s="52" t="s">
        <v>0</v>
      </c>
      <c r="BA1" s="52" t="s">
        <v>4</v>
      </c>
      <c r="BB1" s="52" t="s">
        <v>6</v>
      </c>
      <c r="BC1" s="52" t="s">
        <v>0</v>
      </c>
      <c r="BD1" s="52" t="s">
        <v>0</v>
      </c>
      <c r="BE1" s="52" t="s">
        <v>0</v>
      </c>
      <c r="BF1" s="52" t="s">
        <v>4</v>
      </c>
      <c r="BG1" s="52" t="s">
        <v>9</v>
      </c>
      <c r="BH1" s="52" t="s">
        <v>0</v>
      </c>
      <c r="BI1" s="52" t="s">
        <v>0</v>
      </c>
      <c r="BJ1" s="52" t="s">
        <v>0</v>
      </c>
      <c r="BL1" s="27" t="s">
        <v>10</v>
      </c>
      <c r="BM1" s="27"/>
      <c r="BN1" s="56" t="s">
        <v>0</v>
      </c>
      <c r="BO1" s="56" t="s">
        <v>0</v>
      </c>
      <c r="BP1" s="27"/>
      <c r="BQ1" s="19"/>
    </row>
    <row r="2" spans="1:69" ht="12.75">
      <c r="A2" s="22"/>
      <c r="B2" s="20"/>
      <c r="C2" s="52" t="s">
        <v>12</v>
      </c>
      <c r="D2" s="52" t="s">
        <v>14</v>
      </c>
      <c r="E2" s="52" t="s">
        <v>16</v>
      </c>
      <c r="F2" s="52" t="s">
        <v>15</v>
      </c>
      <c r="G2" s="52" t="s">
        <v>13</v>
      </c>
      <c r="H2" s="52" t="s">
        <v>17</v>
      </c>
      <c r="I2" s="52" t="s">
        <v>15</v>
      </c>
      <c r="J2" s="52" t="s">
        <v>431</v>
      </c>
      <c r="K2" s="52" t="s">
        <v>15</v>
      </c>
      <c r="L2" s="52" t="s">
        <v>352</v>
      </c>
      <c r="M2" s="52" t="s">
        <v>19</v>
      </c>
      <c r="N2" s="52" t="s">
        <v>20</v>
      </c>
      <c r="O2" s="52" t="s">
        <v>18</v>
      </c>
      <c r="P2" s="52" t="s">
        <v>22</v>
      </c>
      <c r="Q2" s="53" t="s">
        <v>443</v>
      </c>
      <c r="R2" s="52" t="s">
        <v>21</v>
      </c>
      <c r="S2" s="52" t="s">
        <v>23</v>
      </c>
      <c r="T2" s="52" t="s">
        <v>15</v>
      </c>
      <c r="U2" s="52" t="s">
        <v>24</v>
      </c>
      <c r="V2" s="52" t="s">
        <v>30</v>
      </c>
      <c r="W2" s="52" t="s">
        <v>25</v>
      </c>
      <c r="X2" s="52" t="s">
        <v>49</v>
      </c>
      <c r="Y2" s="52" t="s">
        <v>14</v>
      </c>
      <c r="Z2" s="52" t="s">
        <v>29</v>
      </c>
      <c r="AA2" s="52" t="s">
        <v>433</v>
      </c>
      <c r="AB2" s="52" t="s">
        <v>76</v>
      </c>
      <c r="AC2" s="52" t="s">
        <v>15</v>
      </c>
      <c r="AD2" s="52" t="s">
        <v>26</v>
      </c>
      <c r="AE2" s="52" t="s">
        <v>14</v>
      </c>
      <c r="AF2" s="52" t="s">
        <v>29</v>
      </c>
      <c r="AG2" s="52" t="s">
        <v>27</v>
      </c>
      <c r="AH2" s="52" t="s">
        <v>28</v>
      </c>
      <c r="AI2" s="52" t="s">
        <v>14</v>
      </c>
      <c r="AJ2" s="52" t="s">
        <v>32</v>
      </c>
      <c r="AK2" s="52" t="s">
        <v>31</v>
      </c>
      <c r="AL2" s="52" t="s">
        <v>33</v>
      </c>
      <c r="AM2" s="52" t="s">
        <v>35</v>
      </c>
      <c r="AN2" s="52" t="s">
        <v>34</v>
      </c>
      <c r="AO2" s="52" t="s">
        <v>37</v>
      </c>
      <c r="AP2" s="52" t="s">
        <v>36</v>
      </c>
      <c r="AQ2" s="52" t="s">
        <v>38</v>
      </c>
      <c r="AR2" s="52" t="s">
        <v>40</v>
      </c>
      <c r="AS2" s="52" t="s">
        <v>15</v>
      </c>
      <c r="AT2" s="52" t="s">
        <v>39</v>
      </c>
      <c r="AU2" s="52" t="s">
        <v>41</v>
      </c>
      <c r="AV2" s="52" t="s">
        <v>43</v>
      </c>
      <c r="AW2" s="52" t="s">
        <v>42</v>
      </c>
      <c r="AX2" s="52" t="s">
        <v>14</v>
      </c>
      <c r="AY2" s="52" t="s">
        <v>44</v>
      </c>
      <c r="AZ2" s="52" t="s">
        <v>14</v>
      </c>
      <c r="BA2" s="52" t="s">
        <v>413</v>
      </c>
      <c r="BB2" s="52" t="s">
        <v>29</v>
      </c>
      <c r="BC2" s="52" t="s">
        <v>45</v>
      </c>
      <c r="BD2" s="52" t="s">
        <v>46</v>
      </c>
      <c r="BE2" s="52" t="s">
        <v>48</v>
      </c>
      <c r="BF2" s="52" t="s">
        <v>47</v>
      </c>
      <c r="BG2" s="52" t="s">
        <v>49</v>
      </c>
      <c r="BH2" s="52" t="s">
        <v>50</v>
      </c>
      <c r="BI2" s="52" t="s">
        <v>51</v>
      </c>
      <c r="BJ2" s="52" t="s">
        <v>52</v>
      </c>
      <c r="BL2" s="27" t="s">
        <v>53</v>
      </c>
      <c r="BM2" s="27"/>
      <c r="BN2" s="56" t="s">
        <v>429</v>
      </c>
      <c r="BO2" s="56" t="s">
        <v>479</v>
      </c>
      <c r="BP2" s="27"/>
      <c r="BQ2" s="19"/>
    </row>
    <row r="3" spans="1:69" ht="12.75">
      <c r="A3" s="20"/>
      <c r="B3" s="20"/>
      <c r="C3" s="52" t="s">
        <v>55</v>
      </c>
      <c r="D3" s="52" t="s">
        <v>477</v>
      </c>
      <c r="E3" s="52"/>
      <c r="F3" s="52" t="s">
        <v>29</v>
      </c>
      <c r="G3" s="52"/>
      <c r="H3" s="52" t="s">
        <v>57</v>
      </c>
      <c r="I3" s="52" t="s">
        <v>56</v>
      </c>
      <c r="J3" s="52" t="s">
        <v>70</v>
      </c>
      <c r="K3" s="52" t="s">
        <v>29</v>
      </c>
      <c r="L3" s="52"/>
      <c r="M3" s="52" t="s">
        <v>57</v>
      </c>
      <c r="N3" s="52" t="s">
        <v>58</v>
      </c>
      <c r="O3" s="52"/>
      <c r="P3" s="52"/>
      <c r="Q3" s="53" t="s">
        <v>442</v>
      </c>
      <c r="R3" s="52" t="s">
        <v>59</v>
      </c>
      <c r="S3" s="52" t="s">
        <v>415</v>
      </c>
      <c r="T3" s="52" t="s">
        <v>29</v>
      </c>
      <c r="U3" s="52" t="s">
        <v>57</v>
      </c>
      <c r="V3" s="52" t="s">
        <v>66</v>
      </c>
      <c r="W3" s="52" t="s">
        <v>287</v>
      </c>
      <c r="X3" s="52" t="s">
        <v>419</v>
      </c>
      <c r="Y3" s="52" t="s">
        <v>444</v>
      </c>
      <c r="Z3" s="52" t="s">
        <v>82</v>
      </c>
      <c r="AA3" s="52" t="s">
        <v>434</v>
      </c>
      <c r="AB3" s="52"/>
      <c r="AC3" s="52" t="s">
        <v>78</v>
      </c>
      <c r="AD3" s="52" t="s">
        <v>61</v>
      </c>
      <c r="AE3" s="52" t="s">
        <v>62</v>
      </c>
      <c r="AF3" s="52" t="s">
        <v>65</v>
      </c>
      <c r="AG3" s="52"/>
      <c r="AH3" s="52" t="s">
        <v>63</v>
      </c>
      <c r="AI3" s="52" t="s">
        <v>64</v>
      </c>
      <c r="AJ3" s="52" t="s">
        <v>68</v>
      </c>
      <c r="AK3" s="52" t="s">
        <v>67</v>
      </c>
      <c r="AL3" s="52"/>
      <c r="AM3" s="52" t="s">
        <v>70</v>
      </c>
      <c r="AN3" s="52" t="s">
        <v>69</v>
      </c>
      <c r="AO3" s="52" t="s">
        <v>72</v>
      </c>
      <c r="AP3" s="52" t="s">
        <v>71</v>
      </c>
      <c r="AQ3" s="52" t="s">
        <v>439</v>
      </c>
      <c r="AR3" s="52" t="s">
        <v>60</v>
      </c>
      <c r="AS3" s="52" t="s">
        <v>29</v>
      </c>
      <c r="AT3" s="52" t="s">
        <v>74</v>
      </c>
      <c r="AU3" s="52" t="s">
        <v>75</v>
      </c>
      <c r="AV3" s="52" t="s">
        <v>73</v>
      </c>
      <c r="AW3" s="52" t="s">
        <v>76</v>
      </c>
      <c r="AX3" s="52" t="s">
        <v>435</v>
      </c>
      <c r="AY3" s="52" t="s">
        <v>77</v>
      </c>
      <c r="AZ3" s="52" t="s">
        <v>79</v>
      </c>
      <c r="BA3" s="52" t="s">
        <v>81</v>
      </c>
      <c r="BB3" s="52" t="s">
        <v>80</v>
      </c>
      <c r="BC3" s="52" t="s">
        <v>83</v>
      </c>
      <c r="BD3" s="52" t="s">
        <v>84</v>
      </c>
      <c r="BE3" s="52" t="s">
        <v>86</v>
      </c>
      <c r="BF3" s="52" t="s">
        <v>85</v>
      </c>
      <c r="BG3" s="52" t="s">
        <v>87</v>
      </c>
      <c r="BH3" s="52" t="s">
        <v>88</v>
      </c>
      <c r="BI3" s="52" t="s">
        <v>89</v>
      </c>
      <c r="BJ3" s="52" t="s">
        <v>90</v>
      </c>
      <c r="BL3" s="27" t="s">
        <v>91</v>
      </c>
      <c r="BM3" s="27"/>
      <c r="BN3" s="56" t="s">
        <v>428</v>
      </c>
      <c r="BO3" s="56" t="s">
        <v>428</v>
      </c>
      <c r="BP3" s="27"/>
      <c r="BQ3" s="19"/>
    </row>
    <row r="4" spans="1:69" ht="12.75">
      <c r="A4" s="48"/>
      <c r="B4" s="48"/>
      <c r="C4" s="54" t="s">
        <v>92</v>
      </c>
      <c r="D4" s="54" t="s">
        <v>93</v>
      </c>
      <c r="E4" s="54" t="s">
        <v>94</v>
      </c>
      <c r="F4" s="54" t="s">
        <v>95</v>
      </c>
      <c r="G4" s="54" t="s">
        <v>96</v>
      </c>
      <c r="H4" s="54" t="s">
        <v>97</v>
      </c>
      <c r="I4" s="54" t="s">
        <v>98</v>
      </c>
      <c r="J4" s="54" t="s">
        <v>99</v>
      </c>
      <c r="K4" s="54" t="s">
        <v>283</v>
      </c>
      <c r="L4" s="54" t="s">
        <v>284</v>
      </c>
      <c r="M4" s="54" t="s">
        <v>285</v>
      </c>
      <c r="N4" s="54" t="s">
        <v>100</v>
      </c>
      <c r="O4" s="54" t="s">
        <v>101</v>
      </c>
      <c r="P4" s="54" t="s">
        <v>102</v>
      </c>
      <c r="Q4" s="54" t="s">
        <v>103</v>
      </c>
      <c r="R4" s="54" t="s">
        <v>104</v>
      </c>
      <c r="S4" s="54" t="s">
        <v>105</v>
      </c>
      <c r="T4" s="54" t="s">
        <v>106</v>
      </c>
      <c r="U4" s="54" t="s">
        <v>107</v>
      </c>
      <c r="V4" s="54" t="s">
        <v>108</v>
      </c>
      <c r="W4" s="54" t="s">
        <v>109</v>
      </c>
      <c r="X4" s="54" t="s">
        <v>110</v>
      </c>
      <c r="Y4" s="54" t="s">
        <v>111</v>
      </c>
      <c r="Z4" s="54" t="s">
        <v>112</v>
      </c>
      <c r="AA4" s="54" t="s">
        <v>113</v>
      </c>
      <c r="AB4" s="54" t="s">
        <v>498</v>
      </c>
      <c r="AC4" s="54" t="s">
        <v>114</v>
      </c>
      <c r="AD4" s="54" t="s">
        <v>115</v>
      </c>
      <c r="AE4" s="54" t="s">
        <v>116</v>
      </c>
      <c r="AF4" s="54" t="s">
        <v>117</v>
      </c>
      <c r="AG4" s="54" t="s">
        <v>118</v>
      </c>
      <c r="AH4" s="54" t="s">
        <v>119</v>
      </c>
      <c r="AI4" s="54" t="s">
        <v>120</v>
      </c>
      <c r="AJ4" s="54" t="s">
        <v>121</v>
      </c>
      <c r="AK4" s="54" t="s">
        <v>122</v>
      </c>
      <c r="AL4" s="54" t="s">
        <v>123</v>
      </c>
      <c r="AM4" s="54" t="s">
        <v>124</v>
      </c>
      <c r="AN4" s="54" t="s">
        <v>125</v>
      </c>
      <c r="AO4" s="54" t="s">
        <v>126</v>
      </c>
      <c r="AP4" s="54" t="s">
        <v>127</v>
      </c>
      <c r="AQ4" s="54" t="s">
        <v>128</v>
      </c>
      <c r="AR4" s="54" t="s">
        <v>129</v>
      </c>
      <c r="AS4" s="54" t="s">
        <v>130</v>
      </c>
      <c r="AT4" s="54" t="s">
        <v>131</v>
      </c>
      <c r="AU4" s="54" t="s">
        <v>132</v>
      </c>
      <c r="AV4" s="54" t="s">
        <v>133</v>
      </c>
      <c r="AW4" s="54" t="s">
        <v>134</v>
      </c>
      <c r="AX4" s="54" t="s">
        <v>135</v>
      </c>
      <c r="AY4" s="54" t="s">
        <v>136</v>
      </c>
      <c r="AZ4" s="54" t="s">
        <v>137</v>
      </c>
      <c r="BA4" s="54" t="s">
        <v>138</v>
      </c>
      <c r="BB4" s="54" t="s">
        <v>139</v>
      </c>
      <c r="BC4" s="54" t="s">
        <v>289</v>
      </c>
      <c r="BD4" s="54" t="s">
        <v>140</v>
      </c>
      <c r="BE4" s="54" t="s">
        <v>141</v>
      </c>
      <c r="BF4" s="54" t="s">
        <v>142</v>
      </c>
      <c r="BG4" s="54" t="s">
        <v>143</v>
      </c>
      <c r="BH4" s="54" t="s">
        <v>144</v>
      </c>
      <c r="BI4" s="54" t="s">
        <v>550</v>
      </c>
      <c r="BJ4" s="54" t="s">
        <v>551</v>
      </c>
      <c r="BL4" s="85"/>
      <c r="BM4" s="85"/>
      <c r="BN4" s="85" t="s">
        <v>540</v>
      </c>
      <c r="BO4" s="85" t="s">
        <v>552</v>
      </c>
      <c r="BP4" s="85"/>
      <c r="BQ4" s="43"/>
    </row>
    <row r="5" spans="1:69" ht="12.75">
      <c r="A5" s="20"/>
      <c r="B5" s="35" t="s">
        <v>519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L5" s="15"/>
      <c r="BM5" s="15"/>
      <c r="BN5" s="15"/>
      <c r="BO5" s="15"/>
      <c r="BP5" s="15"/>
      <c r="BQ5" s="15"/>
    </row>
    <row r="6" spans="1:69" ht="12.75">
      <c r="A6" s="22" t="s">
        <v>148</v>
      </c>
      <c r="B6" s="34">
        <v>1</v>
      </c>
      <c r="C6" s="113">
        <f>SUM(1+'3.5 Aðrar fjárf.'!B67)/SUM(1+'3.5 Aðrar fjárf.'!B68)-1</f>
        <v>0.11791926575368716</v>
      </c>
      <c r="D6" s="113">
        <f>SUM(1+'3.5 Aðrar fjárf.'!C67)/SUM(1+'3.5 Aðrar fjárf.'!C68)-1</f>
        <v>0.0843335072849416</v>
      </c>
      <c r="E6" s="113">
        <f>SUM(1+'3.5 Aðrar fjárf.'!D67)/SUM(1+'3.5 Aðrar fjárf.'!D68)-1</f>
        <v>0.14729324218510365</v>
      </c>
      <c r="F6" s="113">
        <f>SUM(1+'3.5 Aðrar fjárf.'!E67)/SUM(1+'3.5 Aðrar fjárf.'!E68)-1</f>
        <v>0.17801466519610942</v>
      </c>
      <c r="G6" s="113">
        <f>SUM(1+'3.5 Aðrar fjárf.'!F67)/SUM(1+'3.5 Aðrar fjárf.'!F68)-1</f>
        <v>0.12333447186275204</v>
      </c>
      <c r="H6" s="113">
        <f>SUM(1+'3.5 Aðrar fjárf.'!G67)/SUM(1+'3.5 Aðrar fjárf.'!G68)-1</f>
        <v>0.1605348248754488</v>
      </c>
      <c r="I6" s="113">
        <f>SUM(1+'3.5 Aðrar fjárf.'!H67)/SUM(1+'3.5 Aðrar fjárf.'!H68)-1</f>
        <v>0.10334639528634382</v>
      </c>
      <c r="J6" s="113">
        <f>SUM(1+'3.5 Aðrar fjárf.'!I67)/SUM(1+'3.5 Aðrar fjárf.'!I68)-1</f>
        <v>0.07468783045135807</v>
      </c>
      <c r="K6" s="113">
        <f>SUM(1+'3.5 Aðrar fjárf.'!J67)/SUM(1+'3.5 Aðrar fjárf.'!J68)-1</f>
        <v>0.1252806198183083</v>
      </c>
      <c r="L6" s="113">
        <f>SUM(1+'3.5 Aðrar fjárf.'!K67)/SUM(1+'3.5 Aðrar fjárf.'!K68)-1</f>
        <v>0.13966501278382926</v>
      </c>
      <c r="M6" s="113">
        <f>SUM(1+'3.5 Aðrar fjárf.'!L67)/SUM(1+'3.5 Aðrar fjárf.'!L68)-1</f>
        <v>0.08418889056752765</v>
      </c>
      <c r="N6" s="113">
        <f>SUM(1+'3.5 Aðrar fjárf.'!M67)/SUM(1+'3.5 Aðrar fjárf.'!M68)-1</f>
        <v>0.14166874607228608</v>
      </c>
      <c r="O6" s="113">
        <f>SUM(1+'3.5 Aðrar fjárf.'!N67)/SUM(1+'3.5 Aðrar fjárf.'!N68)-1</f>
        <v>0.09903190932694872</v>
      </c>
      <c r="P6" s="113">
        <f>SUM(1+'3.5 Aðrar fjárf.'!O67)/SUM(1+'3.5 Aðrar fjárf.'!O68)-1</f>
        <v>0.1615017168262578</v>
      </c>
      <c r="Q6" s="113">
        <f>SUM(1+'3.5 Aðrar fjárf.'!P67)/SUM(1+'3.5 Aðrar fjárf.'!P68)-1</f>
        <v>0.21552137112844205</v>
      </c>
      <c r="R6" s="113">
        <f>SUM(1+'3.5 Aðrar fjárf.'!Q67)/SUM(1+'3.5 Aðrar fjárf.'!Q68)-1</f>
        <v>0.08716583579700177</v>
      </c>
      <c r="S6" s="113">
        <f>SUM(1+'3.5 Aðrar fjárf.'!R67)/SUM(1+'3.5 Aðrar fjárf.'!R68)-1</f>
        <v>0.12830127649988565</v>
      </c>
      <c r="T6" s="113">
        <f>SUM(1+'3.5 Aðrar fjárf.'!S67)/SUM(1+'3.5 Aðrar fjárf.'!S68)-1</f>
        <v>0.09658873198344708</v>
      </c>
      <c r="U6" s="113">
        <f>SUM(1+'3.5 Aðrar fjárf.'!T67)/SUM(1+'3.5 Aðrar fjárf.'!T68)-1</f>
        <v>0.15897402742832534</v>
      </c>
      <c r="V6" s="113">
        <f>SUM(1+'3.5 Aðrar fjárf.'!U67)/SUM(1+'3.5 Aðrar fjárf.'!U68)-1</f>
        <v>0.07935528933869351</v>
      </c>
      <c r="W6" s="113">
        <f>SUM(1+'3.5 Aðrar fjárf.'!V67)/SUM(1+'3.5 Aðrar fjárf.'!V68)-1</f>
        <v>0.0908462019933527</v>
      </c>
      <c r="X6" s="113">
        <f>SUM(1+'3.5 Aðrar fjárf.'!W67)/SUM(1+'3.5 Aðrar fjárf.'!W68)-1</f>
        <v>0.07767347778681044</v>
      </c>
      <c r="Y6" s="113">
        <f>SUM(1+'3.5 Aðrar fjárf.'!X67)/SUM(1+'3.5 Aðrar fjárf.'!X68)-1</f>
        <v>0.1408533350102219</v>
      </c>
      <c r="Z6" s="113">
        <f>SUM(1+'3.5 Aðrar fjárf.'!Y67)/SUM(1+'3.5 Aðrar fjárf.'!Y68)-1</f>
        <v>0.09976519351404023</v>
      </c>
      <c r="AA6" s="113">
        <f>SUM(1+'3.5 Aðrar fjárf.'!Z67)/SUM(1+'3.5 Aðrar fjárf.'!Z68)-1</f>
        <v>0.08980288591820584</v>
      </c>
      <c r="AB6" s="113">
        <f>SUM(1+'3.5 Aðrar fjárf.'!AA67)/SUM(1+'3.5 Aðrar fjárf.'!AA68)-1</f>
        <v>0.14170609765382425</v>
      </c>
      <c r="AC6" s="113">
        <f>SUM(1+'3.5 Aðrar fjárf.'!AB67)/SUM(1+'3.5 Aðrar fjárf.'!AB68)-1</f>
        <v>0.09936745831764449</v>
      </c>
      <c r="AD6" s="113">
        <f>SUM(1+'3.5 Aðrar fjárf.'!AC67)/SUM(1+'3.5 Aðrar fjárf.'!AC68)-1</f>
        <v>0.06792149165003947</v>
      </c>
      <c r="AE6" s="113">
        <f>SUM(1+'3.5 Aðrar fjárf.'!AD67)/SUM(1+'3.5 Aðrar fjárf.'!AD68)-1</f>
        <v>0.038713245697032495</v>
      </c>
      <c r="AF6" s="113">
        <f>SUM(1+'3.5 Aðrar fjárf.'!AE67)/SUM(1+'3.5 Aðrar fjárf.'!AE68)-1</f>
        <v>0.21962003767387017</v>
      </c>
      <c r="AG6" s="113">
        <f>SUM(1+'3.5 Aðrar fjárf.'!AF67)/SUM(1+'3.5 Aðrar fjárf.'!AF68)-1</f>
        <v>0.08005928845894661</v>
      </c>
      <c r="AH6" s="113">
        <f>SUM(1+'3.5 Aðrar fjárf.'!AG67)/SUM(1+'3.5 Aðrar fjárf.'!AG68)-1</f>
        <v>0.15687301864833358</v>
      </c>
      <c r="AI6" s="113">
        <f>SUM(1+'3.5 Aðrar fjárf.'!AH67)/SUM(1+'3.5 Aðrar fjárf.'!AH68)-1</f>
        <v>0.06219497439228183</v>
      </c>
      <c r="AJ6" s="113">
        <f>SUM(1+'3.5 Aðrar fjárf.'!AI67)/SUM(1+'3.5 Aðrar fjárf.'!AI68)-1</f>
        <v>0.08454963060043896</v>
      </c>
      <c r="AK6" s="113">
        <f>SUM(1+'3.5 Aðrar fjárf.'!AJ67)/SUM(1+'3.5 Aðrar fjárf.'!AJ68)-1</f>
        <v>0.09841357822321806</v>
      </c>
      <c r="AL6" s="113">
        <f>SUM(1+'3.5 Aðrar fjárf.'!AK67)/SUM(1+'3.5 Aðrar fjárf.'!AK68)-1</f>
        <v>0.05186519702441639</v>
      </c>
      <c r="AM6" s="113">
        <f>SUM(1+'3.5 Aðrar fjárf.'!AL67)/SUM(1+'3.5 Aðrar fjárf.'!AL68)-1</f>
        <v>0.06262950563677028</v>
      </c>
      <c r="AN6" s="113">
        <f>SUM(1+'3.5 Aðrar fjárf.'!AM67)/SUM(1+'3.5 Aðrar fjárf.'!AM68)-1</f>
        <v>0.0808688497677017</v>
      </c>
      <c r="AO6" s="113">
        <f>SUM(1+'3.5 Aðrar fjárf.'!AN67)/SUM(1+'3.5 Aðrar fjárf.'!AN68)-1</f>
        <v>0.08033958058514212</v>
      </c>
      <c r="AP6" s="113">
        <f>SUM(1+'3.5 Aðrar fjárf.'!AO67)/SUM(1+'3.5 Aðrar fjárf.'!AO68)-1</f>
        <v>0.08605352626662643</v>
      </c>
      <c r="AQ6" s="113">
        <f>SUM(1+'3.5 Aðrar fjárf.'!AP67)/SUM(1+'3.5 Aðrar fjárf.'!AP68)-1</f>
        <v>0.08333133472515852</v>
      </c>
      <c r="AR6" s="113">
        <f>SUM(1+'3.5 Aðrar fjárf.'!AQ67)/SUM(1+'3.5 Aðrar fjárf.'!AQ68)-1</f>
        <v>0.12053145174838686</v>
      </c>
      <c r="AS6" s="113">
        <f>SUM(1+'3.5 Aðrar fjárf.'!AR67)/SUM(1+'3.5 Aðrar fjárf.'!AR68)-1</f>
        <v>0.2170028754641169</v>
      </c>
      <c r="AT6" s="113">
        <f>SUM(1+'3.5 Aðrar fjárf.'!AS67)/SUM(1+'3.5 Aðrar fjárf.'!AS68)-1</f>
        <v>0.09483009366775907</v>
      </c>
      <c r="AU6" s="113">
        <f>SUM(1+'3.5 Aðrar fjárf.'!AT67)/SUM(1+'3.5 Aðrar fjárf.'!AT68)-1</f>
        <v>0.05294524032017334</v>
      </c>
      <c r="AV6" s="113">
        <f>SUM(1+'3.5 Aðrar fjárf.'!AU67)/SUM(1+'3.5 Aðrar fjárf.'!AU68)-1</f>
        <v>0.04749216213746821</v>
      </c>
      <c r="AW6" s="113">
        <f>SUM(1+'3.5 Aðrar fjárf.'!AV67)/SUM(1+'3.5 Aðrar fjárf.'!AV68)-1</f>
        <v>0.08029827688615132</v>
      </c>
      <c r="AX6" s="113"/>
      <c r="AY6" s="113">
        <f>SUM(1+'3.5 Aðrar fjárf.'!AX67)/SUM(1+'3.5 Aðrar fjárf.'!AX68)-1</f>
        <v>0.06784474582322275</v>
      </c>
      <c r="AZ6" s="113">
        <f>SUM(1+'3.5 Aðrar fjárf.'!AY67)/SUM(1+'3.5 Aðrar fjárf.'!AY68)-1</f>
        <v>0.06324063958550075</v>
      </c>
      <c r="BA6" s="113">
        <v>0.0612</v>
      </c>
      <c r="BB6" s="113">
        <f>SUM(1+'3.5 Aðrar fjárf.'!BA67)/SUM(1+'3.5 Aðrar fjárf.'!BA68)-1</f>
        <v>0.06661589626865938</v>
      </c>
      <c r="BC6" s="113">
        <f>SUM(1+'3.5 Aðrar fjárf.'!BB67)/SUM(1+'3.5 Aðrar fjárf.'!BB68)-1</f>
        <v>0.04879910520761821</v>
      </c>
      <c r="BD6" s="113">
        <f>SUM(1+'3.5 Aðrar fjárf.'!BC67)/SUM(1+'3.5 Aðrar fjárf.'!BC68)-1</f>
        <v>0.060921792904622185</v>
      </c>
      <c r="BE6" s="113">
        <f>SUM(1+'3.5 Aðrar fjárf.'!BD67)/SUM(1+'3.5 Aðrar fjárf.'!BD68)-1</f>
        <v>0.03713877347124561</v>
      </c>
      <c r="BF6" s="113"/>
      <c r="BG6" s="113">
        <f>SUM(1+'3.5 Aðrar fjárf.'!BF67)/SUM(1+'3.5 Aðrar fjárf.'!BF68)-1</f>
        <v>0.05105675384869324</v>
      </c>
      <c r="BH6" s="113">
        <f>SUM(1+'3.5 Aðrar fjárf.'!BG67)/SUM(1+'3.5 Aðrar fjárf.'!BG68)-1</f>
        <v>0.026409946619220248</v>
      </c>
      <c r="BI6" s="113">
        <f>SUM(1+'3.5 Aðrar fjárf.'!BH67)/SUM(1+'3.5 Aðrar fjárf.'!BH68)-1</f>
        <v>0.06146133780351115</v>
      </c>
      <c r="BJ6" s="113">
        <f>SUM(1+'3.5 Aðrar fjárf.'!BI67)/SUM(1+'3.5 Aðrar fjárf.'!BI68)-1</f>
        <v>0.014907806445955796</v>
      </c>
      <c r="BL6" s="113">
        <f>SUM(1+'3.5 Aðrar fjárf.'!BK67)/SUM(1+'3.5 Aðrar fjárf.'!BK68)-1</f>
        <v>0.1201192737039889</v>
      </c>
      <c r="BM6" s="113"/>
      <c r="BN6" s="113">
        <f>SUM(1+'3.5 Aðrar fjárf.'!BM67)/SUM(1+'3.5 Aðrar fjárf.'!BM68)-1</f>
        <v>0.08068153778104614</v>
      </c>
      <c r="BO6" s="113">
        <f>SUM(1+'3.5 Aðrar fjárf.'!BN67)/SUM(1+'3.5 Aðrar fjárf.'!BN68)-1</f>
        <v>0.1268899477566483</v>
      </c>
      <c r="BP6" s="113"/>
      <c r="BQ6" s="47"/>
    </row>
    <row r="7" spans="1:69" ht="12.75">
      <c r="A7" s="22" t="s">
        <v>468</v>
      </c>
      <c r="B7" s="34">
        <v>2</v>
      </c>
      <c r="C7" s="113">
        <v>0.088</v>
      </c>
      <c r="D7" s="113">
        <v>0.0601</v>
      </c>
      <c r="E7" s="113">
        <v>0.0969</v>
      </c>
      <c r="F7" s="113">
        <v>0.097</v>
      </c>
      <c r="G7" s="113">
        <v>0.0823</v>
      </c>
      <c r="H7" s="113">
        <v>0.1066</v>
      </c>
      <c r="I7" s="113">
        <v>0.0786</v>
      </c>
      <c r="J7" s="113">
        <v>0.061</v>
      </c>
      <c r="K7" s="113">
        <v>0.093</v>
      </c>
      <c r="L7" s="113">
        <v>0.097</v>
      </c>
      <c r="M7" s="113">
        <v>0.088</v>
      </c>
      <c r="N7" s="113">
        <v>0.0887</v>
      </c>
      <c r="O7" s="113">
        <v>0.0814</v>
      </c>
      <c r="P7" s="113">
        <v>0.1038</v>
      </c>
      <c r="Q7" s="113">
        <v>0.1029</v>
      </c>
      <c r="R7" s="113">
        <v>0.079</v>
      </c>
      <c r="S7" s="113">
        <v>0.082</v>
      </c>
      <c r="T7" s="113">
        <v>0.084</v>
      </c>
      <c r="U7" s="113">
        <v>0.112</v>
      </c>
      <c r="V7" s="113">
        <v>0.069</v>
      </c>
      <c r="W7" s="113">
        <v>0.067</v>
      </c>
      <c r="X7" s="113">
        <v>0.0675</v>
      </c>
      <c r="Y7" s="113">
        <v>0.0799</v>
      </c>
      <c r="Z7" s="113">
        <v>0.077</v>
      </c>
      <c r="AA7" s="113">
        <v>0.0778</v>
      </c>
      <c r="AB7" s="113">
        <v>0.081</v>
      </c>
      <c r="AC7" s="113">
        <v>0.0699</v>
      </c>
      <c r="AD7" s="113">
        <v>0.0675</v>
      </c>
      <c r="AE7" s="113">
        <v>0.0449</v>
      </c>
      <c r="AF7" s="113">
        <v>0.126</v>
      </c>
      <c r="AG7" s="113"/>
      <c r="AH7" s="113">
        <v>0.0981</v>
      </c>
      <c r="AI7" s="113">
        <v>0.0726</v>
      </c>
      <c r="AJ7" s="113">
        <v>0.0695</v>
      </c>
      <c r="AK7" s="113">
        <v>0.0766</v>
      </c>
      <c r="AL7" s="113">
        <v>0.056</v>
      </c>
      <c r="AM7" s="113">
        <v>0.0734</v>
      </c>
      <c r="AN7" s="113">
        <v>0.0778</v>
      </c>
      <c r="AO7" s="113">
        <v>0.079</v>
      </c>
      <c r="AP7" s="113">
        <v>0.066</v>
      </c>
      <c r="AQ7" s="113">
        <v>0.074</v>
      </c>
      <c r="AR7" s="113">
        <v>0.076</v>
      </c>
      <c r="AS7" s="113">
        <v>0.0591</v>
      </c>
      <c r="AT7" s="113">
        <v>0.0696</v>
      </c>
      <c r="AU7" s="113">
        <v>0.055</v>
      </c>
      <c r="AV7" s="113">
        <v>0.066</v>
      </c>
      <c r="AW7" s="113">
        <v>0.073</v>
      </c>
      <c r="AX7" s="113"/>
      <c r="AY7" s="113">
        <v>0.065</v>
      </c>
      <c r="AZ7" s="113">
        <v>0.063</v>
      </c>
      <c r="BA7" s="113">
        <v>0.0558</v>
      </c>
      <c r="BB7" s="113">
        <v>0.0687</v>
      </c>
      <c r="BC7" s="113">
        <v>0.047</v>
      </c>
      <c r="BD7" s="113"/>
      <c r="BE7" s="113">
        <v>0.045</v>
      </c>
      <c r="BF7" s="113">
        <v>0.031</v>
      </c>
      <c r="BG7" s="113"/>
      <c r="BH7" s="113"/>
      <c r="BI7" s="113"/>
      <c r="BJ7" s="113"/>
      <c r="BL7" s="113"/>
      <c r="BM7" s="113"/>
      <c r="BN7" s="113"/>
      <c r="BO7" s="113"/>
      <c r="BP7" s="113"/>
      <c r="BQ7" s="110"/>
    </row>
    <row r="8" spans="1:77" ht="18" customHeight="1">
      <c r="A8" s="28" t="s">
        <v>508</v>
      </c>
      <c r="B8" s="34"/>
      <c r="C8" s="111">
        <v>30.8</v>
      </c>
      <c r="D8" s="111">
        <v>15.6</v>
      </c>
      <c r="E8" s="111">
        <v>36.91</v>
      </c>
      <c r="F8" s="111">
        <v>43.8</v>
      </c>
      <c r="G8" s="111">
        <v>27.9</v>
      </c>
      <c r="H8" s="111">
        <v>34</v>
      </c>
      <c r="I8" s="111">
        <v>15.4</v>
      </c>
      <c r="J8" s="111">
        <v>60.84</v>
      </c>
      <c r="K8" s="111">
        <v>26.4</v>
      </c>
      <c r="L8" s="111">
        <v>33.5</v>
      </c>
      <c r="M8" s="111">
        <v>37.47</v>
      </c>
      <c r="N8" s="111">
        <v>35.3</v>
      </c>
      <c r="O8" s="111">
        <v>53.06</v>
      </c>
      <c r="P8" s="111">
        <v>63.92</v>
      </c>
      <c r="Q8" s="111">
        <v>51.31</v>
      </c>
      <c r="R8" s="111"/>
      <c r="S8" s="111">
        <v>34.81</v>
      </c>
      <c r="T8" s="111">
        <v>45.9</v>
      </c>
      <c r="U8" s="111">
        <v>33.53</v>
      </c>
      <c r="V8" s="111">
        <v>90.6</v>
      </c>
      <c r="W8" s="111">
        <v>18.5</v>
      </c>
      <c r="X8" s="111">
        <v>15.89</v>
      </c>
      <c r="Y8" s="111">
        <v>15.62</v>
      </c>
      <c r="Z8" s="111">
        <v>47.2</v>
      </c>
      <c r="AA8" s="111">
        <v>79.32</v>
      </c>
      <c r="AB8" s="111">
        <v>60.61</v>
      </c>
      <c r="AC8" s="111">
        <v>66.66</v>
      </c>
      <c r="AD8" s="111">
        <v>22.1</v>
      </c>
      <c r="AE8" s="111">
        <v>8.2</v>
      </c>
      <c r="AF8" s="111">
        <v>31.1</v>
      </c>
      <c r="AG8" s="111">
        <v>12.6</v>
      </c>
      <c r="AH8" s="111">
        <v>24.3</v>
      </c>
      <c r="AI8" s="111">
        <v>89.6</v>
      </c>
      <c r="AJ8" s="111">
        <v>49.75</v>
      </c>
      <c r="AK8" s="111">
        <v>23.2</v>
      </c>
      <c r="AL8" s="111">
        <v>0.1</v>
      </c>
      <c r="AM8" s="111">
        <v>53.14</v>
      </c>
      <c r="AN8" s="111">
        <v>51.54</v>
      </c>
      <c r="AO8" s="111">
        <v>25.35</v>
      </c>
      <c r="AP8" s="111">
        <v>44</v>
      </c>
      <c r="AQ8" s="111"/>
      <c r="AR8" s="111">
        <v>43.92</v>
      </c>
      <c r="AS8" s="111">
        <v>42.51</v>
      </c>
      <c r="AT8" s="111">
        <v>17.92</v>
      </c>
      <c r="AU8" s="111">
        <v>3.7</v>
      </c>
      <c r="AV8" s="111">
        <v>0</v>
      </c>
      <c r="AX8" s="111">
        <v>81.68</v>
      </c>
      <c r="AY8" s="111">
        <v>26.4</v>
      </c>
      <c r="AZ8" s="111">
        <v>49.2</v>
      </c>
      <c r="BA8" s="111">
        <v>24.25</v>
      </c>
      <c r="BB8" s="111">
        <v>0</v>
      </c>
      <c r="BC8" s="111">
        <v>96.9</v>
      </c>
      <c r="BD8" s="111"/>
      <c r="BE8" s="111">
        <v>12.07</v>
      </c>
      <c r="BF8" s="111">
        <v>0</v>
      </c>
      <c r="BG8" s="111">
        <v>0</v>
      </c>
      <c r="BH8" s="111">
        <v>0</v>
      </c>
      <c r="BI8" s="111">
        <v>95.7</v>
      </c>
      <c r="BJ8" s="111">
        <v>100</v>
      </c>
      <c r="BL8" s="111">
        <f aca="true" t="shared" si="0" ref="BL8:BL13">(SUM(C8:BJ8))/55</f>
        <v>38.256</v>
      </c>
      <c r="BM8" s="111"/>
      <c r="BN8" s="111">
        <f>(D8+W8+AE8+AI8+AO8+AQ8+AT8+AV8+AX8+BA8+BC8+BE8+BF8+BH8)/13</f>
        <v>30.005384615384614</v>
      </c>
      <c r="BO8" s="111">
        <f aca="true" t="shared" si="1" ref="BO8:BO13">(C8+E8+F8+G8+H8+I8+J8+K8+L8+M8+N8+O8+P8+Q8+R8+S8+T8+U8+V8+X8+Y8+Z8+AA8+AB8+AC8+AD8+AF8+AG8+AH8+AJ8+AK8+AL8+AM8+AN8+AP8+AR8+AS8+AU8+AW8+AY8+AZ8+BB8+BD8+BG8+BI8+BJ8)/42</f>
        <v>40.809761904761906</v>
      </c>
      <c r="BP8" s="111"/>
      <c r="BQ8" s="111"/>
      <c r="BR8" s="111"/>
      <c r="BS8" s="111"/>
      <c r="BT8" s="111"/>
      <c r="BU8" s="111"/>
      <c r="BV8" s="111"/>
      <c r="BW8" s="111"/>
      <c r="BX8" s="111"/>
      <c r="BY8" s="111"/>
    </row>
    <row r="9" spans="1:77" ht="12.75">
      <c r="A9" s="22" t="s">
        <v>509</v>
      </c>
      <c r="B9" s="34"/>
      <c r="C9" s="111">
        <v>34.4</v>
      </c>
      <c r="D9" s="111">
        <v>41.7</v>
      </c>
      <c r="E9" s="111">
        <v>27.69</v>
      </c>
      <c r="F9" s="111">
        <v>23.8</v>
      </c>
      <c r="G9" s="111">
        <v>47.5</v>
      </c>
      <c r="H9" s="111">
        <v>49</v>
      </c>
      <c r="I9" s="111">
        <v>66.44</v>
      </c>
      <c r="J9" s="111">
        <v>15.03</v>
      </c>
      <c r="K9" s="111">
        <v>29</v>
      </c>
      <c r="L9" s="111">
        <v>40.5</v>
      </c>
      <c r="M9" s="111">
        <v>45.85</v>
      </c>
      <c r="N9" s="111">
        <v>43</v>
      </c>
      <c r="O9" s="111">
        <v>18.53</v>
      </c>
      <c r="P9" s="111">
        <v>19.24</v>
      </c>
      <c r="Q9" s="111">
        <v>3.18</v>
      </c>
      <c r="R9" s="111"/>
      <c r="S9" s="111">
        <v>35.72</v>
      </c>
      <c r="T9" s="111">
        <v>49.5</v>
      </c>
      <c r="U9" s="111">
        <v>32.78</v>
      </c>
      <c r="V9" s="111">
        <v>0.8</v>
      </c>
      <c r="W9" s="111">
        <v>47.1</v>
      </c>
      <c r="X9" s="111">
        <v>56.91</v>
      </c>
      <c r="Y9" s="111">
        <v>65.81</v>
      </c>
      <c r="Z9" s="111">
        <v>44.1</v>
      </c>
      <c r="AA9" s="111">
        <v>0.9</v>
      </c>
      <c r="AB9" s="111">
        <v>9.59</v>
      </c>
      <c r="AC9" s="111">
        <v>32.96</v>
      </c>
      <c r="AD9" s="111">
        <v>64</v>
      </c>
      <c r="AE9" s="111">
        <v>34.1</v>
      </c>
      <c r="AF9" s="111">
        <v>7.83</v>
      </c>
      <c r="AG9" s="111">
        <v>48.5</v>
      </c>
      <c r="AH9" s="111">
        <v>56.3</v>
      </c>
      <c r="AI9" s="111">
        <v>2.1</v>
      </c>
      <c r="AJ9" s="111">
        <v>13.58</v>
      </c>
      <c r="AK9" s="111">
        <v>47.17</v>
      </c>
      <c r="AL9" s="111">
        <v>1.7</v>
      </c>
      <c r="AM9" s="111">
        <v>17.73</v>
      </c>
      <c r="AN9" s="111">
        <v>44.41</v>
      </c>
      <c r="AO9" s="111">
        <v>18.45</v>
      </c>
      <c r="AP9" s="111">
        <v>25.3</v>
      </c>
      <c r="AQ9" s="111"/>
      <c r="AR9" s="111">
        <v>39.62</v>
      </c>
      <c r="AS9" s="111">
        <v>51.13</v>
      </c>
      <c r="AT9" s="111">
        <v>22.65</v>
      </c>
      <c r="AU9" s="111">
        <v>63.4</v>
      </c>
      <c r="AV9" s="111">
        <v>67.02</v>
      </c>
      <c r="AX9" s="111">
        <v>8.72</v>
      </c>
      <c r="AY9" s="111">
        <v>43.8</v>
      </c>
      <c r="AZ9" s="111">
        <v>50.8</v>
      </c>
      <c r="BA9" s="111">
        <v>55.63</v>
      </c>
      <c r="BB9" s="111">
        <v>44.06</v>
      </c>
      <c r="BC9" s="111">
        <v>0</v>
      </c>
      <c r="BD9" s="111"/>
      <c r="BE9" s="111">
        <v>50.8</v>
      </c>
      <c r="BF9" s="111">
        <v>0</v>
      </c>
      <c r="BG9" s="111">
        <v>29.37</v>
      </c>
      <c r="BH9" s="111">
        <v>65.2</v>
      </c>
      <c r="BI9" s="111">
        <v>0</v>
      </c>
      <c r="BJ9" s="111">
        <v>0</v>
      </c>
      <c r="BL9" s="111">
        <f t="shared" si="0"/>
        <v>33.71636363636364</v>
      </c>
      <c r="BM9" s="111"/>
      <c r="BN9" s="111">
        <f aca="true" t="shared" si="2" ref="BN9:BN16">(D9+W9+AE9+AI9+AO9+AQ9+AT9+AV9+AX9+BA9+BC9+BE9+BF9+BH9)/13</f>
        <v>31.805384615384618</v>
      </c>
      <c r="BO9" s="111">
        <f t="shared" si="1"/>
        <v>34.30785714285714</v>
      </c>
      <c r="BP9" s="111"/>
      <c r="BQ9" s="111"/>
      <c r="BR9" s="111"/>
      <c r="BS9" s="111"/>
      <c r="BT9" s="111"/>
      <c r="BU9" s="111"/>
      <c r="BV9" s="111"/>
      <c r="BW9" s="111"/>
      <c r="BX9" s="111"/>
      <c r="BY9" s="111"/>
    </row>
    <row r="10" spans="1:77" ht="12.75">
      <c r="A10" s="22" t="s">
        <v>510</v>
      </c>
      <c r="B10" s="34"/>
      <c r="C10" s="111">
        <v>0.1</v>
      </c>
      <c r="D10" s="111">
        <v>0</v>
      </c>
      <c r="E10" s="111">
        <v>0.69</v>
      </c>
      <c r="F10" s="111">
        <v>0.6</v>
      </c>
      <c r="G10" s="111">
        <v>0.3</v>
      </c>
      <c r="H10" s="111">
        <v>2</v>
      </c>
      <c r="I10" s="111">
        <v>0.55</v>
      </c>
      <c r="J10" s="111">
        <v>0</v>
      </c>
      <c r="K10" s="111">
        <v>7.3</v>
      </c>
      <c r="L10" s="111">
        <v>0.5</v>
      </c>
      <c r="M10" s="111">
        <v>2.44</v>
      </c>
      <c r="N10" s="111">
        <v>2.5</v>
      </c>
      <c r="O10" s="111">
        <v>1.03</v>
      </c>
      <c r="P10" s="111">
        <v>1.1</v>
      </c>
      <c r="Q10" s="111">
        <v>2.04</v>
      </c>
      <c r="R10" s="111"/>
      <c r="S10" s="111">
        <v>1.95</v>
      </c>
      <c r="T10" s="111">
        <v>0.1</v>
      </c>
      <c r="U10" s="111">
        <v>3.13</v>
      </c>
      <c r="V10" s="111">
        <v>8.6</v>
      </c>
      <c r="W10" s="111">
        <v>0</v>
      </c>
      <c r="X10" s="111">
        <v>4.01</v>
      </c>
      <c r="Y10" s="111">
        <v>11.03</v>
      </c>
      <c r="Z10" s="111">
        <v>5.2</v>
      </c>
      <c r="AA10" s="111">
        <v>0</v>
      </c>
      <c r="AB10" s="111">
        <v>1.66</v>
      </c>
      <c r="AC10" s="111">
        <v>0.38</v>
      </c>
      <c r="AD10" s="111">
        <v>1</v>
      </c>
      <c r="AE10" s="111">
        <v>0</v>
      </c>
      <c r="AF10" s="111">
        <v>12.68</v>
      </c>
      <c r="AG10" s="111">
        <v>0</v>
      </c>
      <c r="AH10" s="111">
        <v>0</v>
      </c>
      <c r="AI10" s="111">
        <v>0</v>
      </c>
      <c r="AJ10" s="111">
        <v>0.98</v>
      </c>
      <c r="AK10" s="111">
        <v>0</v>
      </c>
      <c r="AL10" s="111">
        <v>0</v>
      </c>
      <c r="AM10" s="111">
        <v>0</v>
      </c>
      <c r="AN10" s="111">
        <v>0</v>
      </c>
      <c r="AO10" s="111">
        <v>4.42</v>
      </c>
      <c r="AP10" s="111">
        <v>6.8</v>
      </c>
      <c r="AQ10" s="111"/>
      <c r="AR10" s="111">
        <v>0</v>
      </c>
      <c r="AS10" s="111">
        <v>4.25</v>
      </c>
      <c r="AT10" s="111">
        <v>0</v>
      </c>
      <c r="AU10" s="111">
        <v>0.2</v>
      </c>
      <c r="AV10" s="111">
        <v>0</v>
      </c>
      <c r="AX10" s="111">
        <v>0</v>
      </c>
      <c r="AY10" s="111">
        <v>1.9</v>
      </c>
      <c r="AZ10" s="111">
        <v>0</v>
      </c>
      <c r="BA10" s="111">
        <v>0</v>
      </c>
      <c r="BB10" s="111">
        <v>0</v>
      </c>
      <c r="BC10" s="111">
        <v>0</v>
      </c>
      <c r="BD10" s="111"/>
      <c r="BE10" s="111">
        <v>1.8</v>
      </c>
      <c r="BF10" s="111">
        <v>0</v>
      </c>
      <c r="BG10" s="111">
        <v>0</v>
      </c>
      <c r="BH10" s="111">
        <v>17.1</v>
      </c>
      <c r="BI10" s="111">
        <v>0</v>
      </c>
      <c r="BJ10" s="111">
        <v>0</v>
      </c>
      <c r="BL10" s="111">
        <f t="shared" si="0"/>
        <v>1.969818181818182</v>
      </c>
      <c r="BM10" s="111"/>
      <c r="BN10" s="111">
        <f t="shared" si="2"/>
        <v>1.7938461538461539</v>
      </c>
      <c r="BO10" s="111">
        <f t="shared" si="1"/>
        <v>2.0242857142857145</v>
      </c>
      <c r="BP10" s="111"/>
      <c r="BQ10" s="111"/>
      <c r="BR10" s="111"/>
      <c r="BS10" s="111"/>
      <c r="BT10" s="111"/>
      <c r="BU10" s="111"/>
      <c r="BV10" s="111"/>
      <c r="BW10" s="111"/>
      <c r="BX10" s="111"/>
      <c r="BY10" s="111"/>
    </row>
    <row r="11" spans="1:77" ht="12.75">
      <c r="A11" s="22" t="s">
        <v>511</v>
      </c>
      <c r="B11" s="34"/>
      <c r="C11" s="111">
        <v>20.9</v>
      </c>
      <c r="D11" s="111">
        <v>23</v>
      </c>
      <c r="E11" s="111">
        <v>20.91</v>
      </c>
      <c r="F11" s="111">
        <v>16</v>
      </c>
      <c r="G11" s="111">
        <v>19.2</v>
      </c>
      <c r="H11" s="111">
        <v>8</v>
      </c>
      <c r="I11" s="111">
        <v>15.38</v>
      </c>
      <c r="J11" s="111">
        <v>15.78</v>
      </c>
      <c r="K11" s="111">
        <v>20.6</v>
      </c>
      <c r="L11" s="111">
        <v>0.6</v>
      </c>
      <c r="M11" s="111">
        <v>6.1</v>
      </c>
      <c r="N11" s="111">
        <v>16.6</v>
      </c>
      <c r="O11" s="111">
        <v>0</v>
      </c>
      <c r="P11" s="111">
        <v>0</v>
      </c>
      <c r="Q11" s="111">
        <v>7.23</v>
      </c>
      <c r="R11" s="111"/>
      <c r="S11" s="111">
        <v>19.95</v>
      </c>
      <c r="T11" s="111">
        <v>0.7</v>
      </c>
      <c r="U11" s="111">
        <v>29.34</v>
      </c>
      <c r="V11" s="111">
        <v>0</v>
      </c>
      <c r="W11" s="111">
        <v>18.9</v>
      </c>
      <c r="X11" s="111">
        <v>9.34</v>
      </c>
      <c r="Y11" s="111">
        <v>0</v>
      </c>
      <c r="Z11" s="111">
        <v>2.5</v>
      </c>
      <c r="AA11" s="111">
        <v>11.38</v>
      </c>
      <c r="AB11" s="111">
        <v>17.09</v>
      </c>
      <c r="AC11" s="111">
        <v>0</v>
      </c>
      <c r="AD11" s="111">
        <v>0</v>
      </c>
      <c r="AE11" s="111">
        <v>0</v>
      </c>
      <c r="AF11" s="111">
        <v>13.87</v>
      </c>
      <c r="AG11" s="111">
        <v>1.2</v>
      </c>
      <c r="AH11" s="111">
        <v>13.9</v>
      </c>
      <c r="AI11" s="111">
        <v>8.3</v>
      </c>
      <c r="AJ11" s="111">
        <v>31.8</v>
      </c>
      <c r="AK11" s="111">
        <v>23.95</v>
      </c>
      <c r="AL11" s="111">
        <v>97.6</v>
      </c>
      <c r="AM11" s="111">
        <v>22</v>
      </c>
      <c r="AN11" s="111">
        <v>0</v>
      </c>
      <c r="AO11" s="111">
        <v>17.21</v>
      </c>
      <c r="AP11" s="111">
        <v>17.8</v>
      </c>
      <c r="AQ11" s="111"/>
      <c r="AR11" s="111">
        <v>9.78</v>
      </c>
      <c r="AS11" s="111">
        <v>2.11</v>
      </c>
      <c r="AT11" s="111">
        <v>45.45</v>
      </c>
      <c r="AU11" s="111">
        <v>31.2</v>
      </c>
      <c r="AV11" s="111">
        <v>19.1</v>
      </c>
      <c r="AX11" s="111">
        <v>0</v>
      </c>
      <c r="AY11" s="111">
        <v>27.9</v>
      </c>
      <c r="AZ11" s="111">
        <v>0</v>
      </c>
      <c r="BA11" s="111">
        <v>0</v>
      </c>
      <c r="BB11" s="111">
        <v>46.9</v>
      </c>
      <c r="BC11" s="111">
        <v>0</v>
      </c>
      <c r="BD11" s="111"/>
      <c r="BE11" s="111">
        <v>30.2</v>
      </c>
      <c r="BF11" s="111">
        <v>21.46</v>
      </c>
      <c r="BG11" s="111">
        <v>0</v>
      </c>
      <c r="BH11" s="111">
        <v>0</v>
      </c>
      <c r="BI11" s="111">
        <v>0</v>
      </c>
      <c r="BJ11" s="111">
        <v>0</v>
      </c>
      <c r="BL11" s="111">
        <f t="shared" si="0"/>
        <v>14.20418181818182</v>
      </c>
      <c r="BM11" s="111"/>
      <c r="BN11" s="111">
        <f t="shared" si="2"/>
        <v>14.124615384615385</v>
      </c>
      <c r="BO11" s="111">
        <f t="shared" si="1"/>
        <v>14.228809523809522</v>
      </c>
      <c r="BP11" s="111"/>
      <c r="BQ11" s="111"/>
      <c r="BR11" s="111"/>
      <c r="BS11" s="111"/>
      <c r="BT11" s="111"/>
      <c r="BU11" s="111"/>
      <c r="BV11" s="111"/>
      <c r="BW11" s="111"/>
      <c r="BX11" s="111"/>
      <c r="BY11" s="111"/>
    </row>
    <row r="12" spans="1:77" ht="12.75">
      <c r="A12" s="22" t="s">
        <v>480</v>
      </c>
      <c r="B12" s="34"/>
      <c r="C12" s="111">
        <v>13.8</v>
      </c>
      <c r="D12" s="111">
        <v>19.7</v>
      </c>
      <c r="E12" s="111">
        <v>13.2</v>
      </c>
      <c r="F12" s="111">
        <v>15.8</v>
      </c>
      <c r="G12" s="111">
        <v>5.1</v>
      </c>
      <c r="H12" s="111">
        <v>3</v>
      </c>
      <c r="I12" s="111">
        <v>2.23</v>
      </c>
      <c r="J12" s="111">
        <v>8.35</v>
      </c>
      <c r="K12" s="111">
        <v>14.3</v>
      </c>
      <c r="L12" s="111">
        <v>24.3</v>
      </c>
      <c r="M12" s="111">
        <v>7.58</v>
      </c>
      <c r="N12" s="111">
        <v>2.6</v>
      </c>
      <c r="O12" s="111">
        <v>3.22</v>
      </c>
      <c r="P12" s="111">
        <v>15.51</v>
      </c>
      <c r="Q12" s="111">
        <v>25.43</v>
      </c>
      <c r="R12" s="111"/>
      <c r="S12" s="111">
        <v>0.09</v>
      </c>
      <c r="T12" s="111">
        <v>3.8</v>
      </c>
      <c r="U12" s="111">
        <v>0.88</v>
      </c>
      <c r="V12" s="111">
        <v>0</v>
      </c>
      <c r="W12" s="111">
        <v>15.5</v>
      </c>
      <c r="X12" s="111">
        <v>13.85</v>
      </c>
      <c r="Y12" s="111">
        <v>7.54</v>
      </c>
      <c r="Z12" s="111">
        <v>1</v>
      </c>
      <c r="AA12" s="111">
        <v>8.4</v>
      </c>
      <c r="AB12" s="111">
        <v>2.11</v>
      </c>
      <c r="AC12" s="111">
        <v>0</v>
      </c>
      <c r="AD12" s="111">
        <v>12.5</v>
      </c>
      <c r="AE12" s="111">
        <v>57.8</v>
      </c>
      <c r="AF12" s="111">
        <v>21.63</v>
      </c>
      <c r="AG12" s="111">
        <v>37.7</v>
      </c>
      <c r="AH12" s="111">
        <v>5.5</v>
      </c>
      <c r="AI12" s="111">
        <v>0</v>
      </c>
      <c r="AJ12" s="111">
        <v>2.87</v>
      </c>
      <c r="AK12" s="111">
        <v>5.68</v>
      </c>
      <c r="AL12" s="111">
        <v>0.6</v>
      </c>
      <c r="AM12" s="111">
        <v>7.13</v>
      </c>
      <c r="AN12" s="111">
        <v>4.05</v>
      </c>
      <c r="AO12" s="111">
        <v>34.57</v>
      </c>
      <c r="AP12" s="111">
        <v>6.1</v>
      </c>
      <c r="AQ12" s="111"/>
      <c r="AR12" s="111">
        <v>6.68</v>
      </c>
      <c r="AS12" s="111">
        <v>0</v>
      </c>
      <c r="AT12" s="111">
        <v>13.98</v>
      </c>
      <c r="AU12" s="111">
        <v>1.5</v>
      </c>
      <c r="AV12" s="111">
        <v>13.88</v>
      </c>
      <c r="AX12" s="111">
        <v>9.61</v>
      </c>
      <c r="AY12" s="111">
        <v>0</v>
      </c>
      <c r="AZ12" s="111">
        <v>0</v>
      </c>
      <c r="BA12" s="111">
        <v>20.12</v>
      </c>
      <c r="BB12" s="111">
        <v>8.7</v>
      </c>
      <c r="BC12" s="111">
        <v>3.4</v>
      </c>
      <c r="BD12" s="111"/>
      <c r="BE12" s="111">
        <v>5.1</v>
      </c>
      <c r="BF12" s="111">
        <v>78.5</v>
      </c>
      <c r="BG12" s="111">
        <v>70.63</v>
      </c>
      <c r="BH12" s="111">
        <v>17.7</v>
      </c>
      <c r="BI12" s="111">
        <v>0</v>
      </c>
      <c r="BJ12" s="111">
        <v>0</v>
      </c>
      <c r="BL12" s="111">
        <f t="shared" si="0"/>
        <v>12.24036363636364</v>
      </c>
      <c r="BM12" s="111"/>
      <c r="BN12" s="111">
        <f t="shared" si="2"/>
        <v>22.296923076923072</v>
      </c>
      <c r="BO12" s="111">
        <f t="shared" si="1"/>
        <v>9.12761904761905</v>
      </c>
      <c r="BP12" s="111"/>
      <c r="BQ12" s="111"/>
      <c r="BR12" s="111"/>
      <c r="BS12" s="111"/>
      <c r="BT12" s="111"/>
      <c r="BU12" s="111"/>
      <c r="BV12" s="111"/>
      <c r="BW12" s="111"/>
      <c r="BX12" s="111"/>
      <c r="BY12" s="111"/>
    </row>
    <row r="13" spans="1:77" ht="12.75">
      <c r="A13" s="22" t="s">
        <v>481</v>
      </c>
      <c r="B13" s="34"/>
      <c r="C13" s="111">
        <v>0</v>
      </c>
      <c r="D13" s="111">
        <v>0</v>
      </c>
      <c r="E13" s="111">
        <v>0.6</v>
      </c>
      <c r="F13" s="111">
        <v>0</v>
      </c>
      <c r="G13" s="111">
        <v>0</v>
      </c>
      <c r="H13" s="111">
        <v>4</v>
      </c>
      <c r="I13" s="111">
        <v>0</v>
      </c>
      <c r="J13" s="111">
        <v>0</v>
      </c>
      <c r="K13" s="111">
        <v>2.6</v>
      </c>
      <c r="L13" s="111">
        <v>0.6</v>
      </c>
      <c r="M13" s="111">
        <v>0.57</v>
      </c>
      <c r="N13" s="111">
        <v>0</v>
      </c>
      <c r="O13" s="111">
        <v>24.16</v>
      </c>
      <c r="P13" s="111">
        <v>0.23</v>
      </c>
      <c r="Q13" s="111">
        <v>10.81</v>
      </c>
      <c r="R13" s="111"/>
      <c r="S13" s="111">
        <v>7.48</v>
      </c>
      <c r="T13" s="111">
        <v>0</v>
      </c>
      <c r="U13" s="111">
        <v>0.34</v>
      </c>
      <c r="V13" s="111">
        <v>0</v>
      </c>
      <c r="W13" s="111">
        <v>0</v>
      </c>
      <c r="X13" s="111">
        <v>0</v>
      </c>
      <c r="Y13" s="111">
        <v>0</v>
      </c>
      <c r="Z13" s="111">
        <v>0</v>
      </c>
      <c r="AA13" s="111">
        <v>0</v>
      </c>
      <c r="AB13" s="111">
        <v>8.94</v>
      </c>
      <c r="AC13" s="111">
        <v>0</v>
      </c>
      <c r="AD13" s="111">
        <v>0.4</v>
      </c>
      <c r="AE13" s="111">
        <v>0</v>
      </c>
      <c r="AF13" s="111">
        <v>12.89</v>
      </c>
      <c r="AG13" s="111">
        <v>0</v>
      </c>
      <c r="AH13" s="111">
        <v>0</v>
      </c>
      <c r="AI13" s="111">
        <v>0</v>
      </c>
      <c r="AJ13" s="111">
        <v>1.03</v>
      </c>
      <c r="AK13" s="111">
        <v>0</v>
      </c>
      <c r="AL13" s="111">
        <v>0</v>
      </c>
      <c r="AM13" s="111">
        <v>0</v>
      </c>
      <c r="AN13" s="111">
        <v>0</v>
      </c>
      <c r="AO13" s="111">
        <v>0</v>
      </c>
      <c r="AP13" s="111">
        <v>0</v>
      </c>
      <c r="AQ13" s="111"/>
      <c r="AR13" s="111">
        <v>0</v>
      </c>
      <c r="AS13" s="111">
        <v>0</v>
      </c>
      <c r="AT13" s="111">
        <v>0</v>
      </c>
      <c r="AU13" s="111">
        <v>0</v>
      </c>
      <c r="AV13" s="111">
        <v>0</v>
      </c>
      <c r="AX13" s="111">
        <v>0</v>
      </c>
      <c r="AY13" s="111">
        <v>0</v>
      </c>
      <c r="AZ13" s="111">
        <v>0</v>
      </c>
      <c r="BA13" s="111">
        <v>0</v>
      </c>
      <c r="BB13" s="111">
        <v>0</v>
      </c>
      <c r="BC13" s="111">
        <v>0</v>
      </c>
      <c r="BD13" s="111"/>
      <c r="BE13" s="111">
        <v>0</v>
      </c>
      <c r="BF13" s="111">
        <v>0</v>
      </c>
      <c r="BG13" s="111">
        <v>0</v>
      </c>
      <c r="BH13" s="111">
        <v>0</v>
      </c>
      <c r="BI13" s="111">
        <v>4.3</v>
      </c>
      <c r="BJ13" s="111">
        <v>0</v>
      </c>
      <c r="BL13" s="111">
        <f t="shared" si="0"/>
        <v>1.4354545454545455</v>
      </c>
      <c r="BM13" s="111"/>
      <c r="BN13" s="111">
        <f t="shared" si="2"/>
        <v>0</v>
      </c>
      <c r="BO13" s="111">
        <f t="shared" si="1"/>
        <v>1.8797619047619047</v>
      </c>
      <c r="BP13" s="111"/>
      <c r="BQ13" s="111"/>
      <c r="BR13" s="111"/>
      <c r="BS13" s="111"/>
      <c r="BT13" s="111"/>
      <c r="BU13" s="111"/>
      <c r="BV13" s="111"/>
      <c r="BW13" s="111"/>
      <c r="BX13" s="111"/>
      <c r="BY13" s="111"/>
    </row>
    <row r="14" spans="1:69" ht="12.75">
      <c r="A14" s="20" t="s">
        <v>471</v>
      </c>
      <c r="B14" s="34">
        <v>3</v>
      </c>
      <c r="C14" s="41">
        <f aca="true" t="shared" si="3" ref="C14:BC14">C8+C9+C10+C11+C12+C13</f>
        <v>99.99999999999999</v>
      </c>
      <c r="D14" s="41">
        <f>D8+D9+D10+D11+D12+D13</f>
        <v>100.00000000000001</v>
      </c>
      <c r="E14" s="41">
        <f t="shared" si="3"/>
        <v>99.99999999999999</v>
      </c>
      <c r="F14" s="41">
        <f>F8+F9+F10+F11+F12+F13</f>
        <v>99.99999999999999</v>
      </c>
      <c r="G14" s="41">
        <f t="shared" si="3"/>
        <v>100</v>
      </c>
      <c r="H14" s="41">
        <f t="shared" si="3"/>
        <v>100</v>
      </c>
      <c r="I14" s="41">
        <f t="shared" si="3"/>
        <v>100</v>
      </c>
      <c r="J14" s="41">
        <f t="shared" si="3"/>
        <v>100</v>
      </c>
      <c r="K14" s="41">
        <f t="shared" si="3"/>
        <v>100.19999999999999</v>
      </c>
      <c r="L14" s="41">
        <f t="shared" si="3"/>
        <v>99.99999999999999</v>
      </c>
      <c r="M14" s="41">
        <f t="shared" si="3"/>
        <v>100.00999999999998</v>
      </c>
      <c r="N14" s="41">
        <f>N8+N9+N10+N11+N12+N13</f>
        <v>100</v>
      </c>
      <c r="O14" s="41">
        <f t="shared" si="3"/>
        <v>100</v>
      </c>
      <c r="P14" s="41">
        <f t="shared" si="3"/>
        <v>100</v>
      </c>
      <c r="Q14" s="41">
        <f>Q8+Q9+Q10+Q11+Q12+Q13</f>
        <v>100</v>
      </c>
      <c r="R14" s="41"/>
      <c r="S14" s="41">
        <f t="shared" si="3"/>
        <v>100.00000000000001</v>
      </c>
      <c r="T14" s="41">
        <f>T8+T9+T10+T11+T12+T13</f>
        <v>100</v>
      </c>
      <c r="U14" s="41">
        <f t="shared" si="3"/>
        <v>100</v>
      </c>
      <c r="V14" s="41">
        <f>V8+V9+V10+V11+V12+V13</f>
        <v>99.99999999999999</v>
      </c>
      <c r="W14" s="41">
        <f>W8+W9+W10+W11+W12+W13</f>
        <v>100</v>
      </c>
      <c r="X14" s="41">
        <f t="shared" si="3"/>
        <v>100</v>
      </c>
      <c r="Y14" s="41">
        <f>Y8+Y9+Y10+Y11+Y12+Y13</f>
        <v>100.00000000000001</v>
      </c>
      <c r="Z14" s="41">
        <f>Z8+Z9+Z10+Z11+Z12+Z13</f>
        <v>100.00000000000001</v>
      </c>
      <c r="AA14" s="41">
        <f t="shared" si="3"/>
        <v>100</v>
      </c>
      <c r="AB14" s="41">
        <f t="shared" si="3"/>
        <v>100</v>
      </c>
      <c r="AC14" s="41">
        <f>AC8+AC9+AC10+AC11+AC12+AC13</f>
        <v>100</v>
      </c>
      <c r="AD14" s="41">
        <f>AD8+AD9+AD10+AD11+AD12+AD13</f>
        <v>100</v>
      </c>
      <c r="AE14" s="41">
        <f t="shared" si="3"/>
        <v>100.1</v>
      </c>
      <c r="AF14" s="41">
        <f t="shared" si="3"/>
        <v>100</v>
      </c>
      <c r="AG14" s="41">
        <f t="shared" si="3"/>
        <v>100</v>
      </c>
      <c r="AH14" s="41">
        <f t="shared" si="3"/>
        <v>100</v>
      </c>
      <c r="AI14" s="41">
        <f t="shared" si="3"/>
        <v>99.99999999999999</v>
      </c>
      <c r="AJ14" s="41">
        <f>AJ8+AJ9+AJ10+AJ11+AJ12+AJ13</f>
        <v>100.01</v>
      </c>
      <c r="AK14" s="41">
        <f t="shared" si="3"/>
        <v>100</v>
      </c>
      <c r="AL14" s="41">
        <f t="shared" si="3"/>
        <v>99.99999999999999</v>
      </c>
      <c r="AM14" s="41">
        <f>AM8+AM9+AM10+AM11+AM12+AM13</f>
        <v>100</v>
      </c>
      <c r="AN14" s="41">
        <f t="shared" si="3"/>
        <v>99.99999999999999</v>
      </c>
      <c r="AO14" s="41">
        <f t="shared" si="3"/>
        <v>100</v>
      </c>
      <c r="AP14" s="41">
        <f t="shared" si="3"/>
        <v>99.99999999999999</v>
      </c>
      <c r="AQ14" s="41"/>
      <c r="AR14" s="41">
        <f t="shared" si="3"/>
        <v>100</v>
      </c>
      <c r="AS14" s="41">
        <f>AS8+AS9+AS10+AS11+AS12+AS13</f>
        <v>100</v>
      </c>
      <c r="AT14" s="41">
        <f t="shared" si="3"/>
        <v>100.00000000000001</v>
      </c>
      <c r="AU14" s="41">
        <f t="shared" si="3"/>
        <v>100</v>
      </c>
      <c r="AV14" s="41">
        <f t="shared" si="3"/>
        <v>100</v>
      </c>
      <c r="AW14" s="41"/>
      <c r="AX14" s="41">
        <f>AX8+AX9+AX10+AX11+AX12+AX13</f>
        <v>100.01</v>
      </c>
      <c r="AY14" s="41">
        <f t="shared" si="3"/>
        <v>100</v>
      </c>
      <c r="AZ14" s="41">
        <f t="shared" si="3"/>
        <v>100</v>
      </c>
      <c r="BA14" s="41">
        <f>BA8+BA9+BA10+BA11+BA12+BA13</f>
        <v>100</v>
      </c>
      <c r="BB14" s="41">
        <f t="shared" si="3"/>
        <v>99.66000000000001</v>
      </c>
      <c r="BC14" s="41">
        <f t="shared" si="3"/>
        <v>100.30000000000001</v>
      </c>
      <c r="BD14" s="41"/>
      <c r="BE14" s="41">
        <f aca="true" t="shared" si="4" ref="BE14:BJ14">BE8+BE9+BE10+BE11+BE12+BE13</f>
        <v>99.97</v>
      </c>
      <c r="BF14" s="41">
        <f t="shared" si="4"/>
        <v>99.96000000000001</v>
      </c>
      <c r="BG14" s="41">
        <f>BG8+BG9+BG10+BG11+BG12+BG13</f>
        <v>100</v>
      </c>
      <c r="BH14" s="41">
        <f t="shared" si="4"/>
        <v>100.00000000000001</v>
      </c>
      <c r="BI14" s="41">
        <f t="shared" si="4"/>
        <v>100</v>
      </c>
      <c r="BJ14" s="41">
        <f t="shared" si="4"/>
        <v>100</v>
      </c>
      <c r="BL14" s="41">
        <f>SUM(BL8:BL13)</f>
        <v>101.82218181818183</v>
      </c>
      <c r="BM14" s="41"/>
      <c r="BN14" s="41">
        <f>SUM(BN8:BN13)</f>
        <v>100.02615384615385</v>
      </c>
      <c r="BO14" s="41">
        <f>SUM(BO8:BO13)</f>
        <v>102.37809523809523</v>
      </c>
      <c r="BP14" s="17"/>
      <c r="BQ14" s="17"/>
    </row>
    <row r="15" spans="1:74" ht="18" customHeight="1">
      <c r="A15" s="28" t="s">
        <v>482</v>
      </c>
      <c r="B15" s="34"/>
      <c r="C15" s="111">
        <v>81</v>
      </c>
      <c r="D15" s="111">
        <v>85.1</v>
      </c>
      <c r="E15" s="111">
        <v>80.48</v>
      </c>
      <c r="F15" s="111">
        <v>61.8</v>
      </c>
      <c r="G15" s="111">
        <v>80</v>
      </c>
      <c r="H15" s="111">
        <v>73</v>
      </c>
      <c r="I15" s="111">
        <v>90.9</v>
      </c>
      <c r="J15" s="111">
        <v>86.03</v>
      </c>
      <c r="K15" s="111">
        <v>92.3</v>
      </c>
      <c r="L15" s="111">
        <v>81.1</v>
      </c>
      <c r="M15" s="111">
        <v>72.5</v>
      </c>
      <c r="N15" s="111">
        <v>75</v>
      </c>
      <c r="O15" s="111">
        <v>80.3</v>
      </c>
      <c r="P15" s="111">
        <v>72.9</v>
      </c>
      <c r="Q15" s="111">
        <v>55.67</v>
      </c>
      <c r="R15" s="111">
        <v>78.92</v>
      </c>
      <c r="S15" s="111">
        <v>73.81</v>
      </c>
      <c r="T15" s="111">
        <v>72.9</v>
      </c>
      <c r="U15" s="111">
        <v>84.86</v>
      </c>
      <c r="V15" s="111">
        <v>81.1</v>
      </c>
      <c r="W15" s="111">
        <v>82</v>
      </c>
      <c r="X15" s="111">
        <v>92.6</v>
      </c>
      <c r="Y15" s="111">
        <v>97.88</v>
      </c>
      <c r="Z15" s="111">
        <v>74.6</v>
      </c>
      <c r="AA15" s="111">
        <v>78.5</v>
      </c>
      <c r="AB15" s="111">
        <v>66.3</v>
      </c>
      <c r="AC15" s="111">
        <v>81.26</v>
      </c>
      <c r="AD15" s="111">
        <v>90.33</v>
      </c>
      <c r="AE15" s="111">
        <v>98.5</v>
      </c>
      <c r="AF15" s="111">
        <v>61.4</v>
      </c>
      <c r="AG15" s="111">
        <v>95.4</v>
      </c>
      <c r="AH15" s="111">
        <v>98.3</v>
      </c>
      <c r="AI15" s="111">
        <v>87.2</v>
      </c>
      <c r="AJ15" s="111">
        <v>82.21</v>
      </c>
      <c r="AK15" s="111">
        <v>84.7</v>
      </c>
      <c r="AL15" s="111">
        <v>100</v>
      </c>
      <c r="AM15" s="111">
        <v>89.68</v>
      </c>
      <c r="AN15" s="111">
        <v>86.47</v>
      </c>
      <c r="AO15" s="111">
        <v>82.2</v>
      </c>
      <c r="AP15" s="111">
        <v>86.3</v>
      </c>
      <c r="AQ15" s="111"/>
      <c r="AR15" s="111">
        <v>84.62</v>
      </c>
      <c r="AS15" s="111">
        <v>74.87</v>
      </c>
      <c r="AT15" s="111">
        <v>89.48</v>
      </c>
      <c r="AU15" s="111">
        <v>97.2</v>
      </c>
      <c r="AV15" s="111">
        <v>94.17</v>
      </c>
      <c r="AW15" s="111">
        <v>86.5</v>
      </c>
      <c r="AX15" s="111">
        <v>67.58</v>
      </c>
      <c r="AY15" s="111">
        <v>97.1</v>
      </c>
      <c r="AZ15" s="111">
        <v>100</v>
      </c>
      <c r="BA15" s="111">
        <v>96.78</v>
      </c>
      <c r="BB15" s="111">
        <v>100</v>
      </c>
      <c r="BC15" s="111">
        <v>100</v>
      </c>
      <c r="BD15" s="111"/>
      <c r="BE15" s="111">
        <v>95.57</v>
      </c>
      <c r="BF15" s="111">
        <v>100</v>
      </c>
      <c r="BG15" s="111">
        <v>100</v>
      </c>
      <c r="BH15" s="111">
        <v>95.3</v>
      </c>
      <c r="BI15" s="111">
        <v>95.3</v>
      </c>
      <c r="BJ15" s="111">
        <v>100</v>
      </c>
      <c r="BL15" s="111">
        <f>(SUM(C15:BJ15))/58</f>
        <v>85.34431034482758</v>
      </c>
      <c r="BM15" s="111"/>
      <c r="BN15" s="111">
        <f t="shared" si="2"/>
        <v>90.29846153846152</v>
      </c>
      <c r="BO15" s="111">
        <f>(C15+E15+F15+G15+H15+I15+J15+K15+L15+M15+N15+O15+P15+Q15+R15+S15+T15+U15+V15+X15+Y15+Z15+AA15+AB15+AC15+AD15+AF15+AG15+AH15+AJ15+AK15+AL15+AM15+AN15+AP15+AR15+AU15+AW15+AY15+AZ15+BB15+BD15+BI15+BJ15+AS15+BG15)/45</f>
        <v>83.91311111111109</v>
      </c>
      <c r="BP15" s="111"/>
      <c r="BQ15" s="111"/>
      <c r="BR15" s="111"/>
      <c r="BS15" s="111"/>
      <c r="BT15" s="111"/>
      <c r="BU15" s="111"/>
      <c r="BV15" s="111"/>
    </row>
    <row r="16" spans="1:74" ht="12.75">
      <c r="A16" s="22" t="s">
        <v>487</v>
      </c>
      <c r="B16" s="34"/>
      <c r="C16" s="111">
        <v>19</v>
      </c>
      <c r="D16" s="111">
        <v>14.9</v>
      </c>
      <c r="E16" s="111">
        <v>19.52</v>
      </c>
      <c r="F16" s="111">
        <v>38.2</v>
      </c>
      <c r="G16" s="111">
        <v>20</v>
      </c>
      <c r="H16" s="111">
        <v>27</v>
      </c>
      <c r="I16" s="111">
        <v>9.1</v>
      </c>
      <c r="J16" s="111">
        <v>13.97</v>
      </c>
      <c r="K16" s="111">
        <v>7.7</v>
      </c>
      <c r="L16" s="111">
        <v>18.9</v>
      </c>
      <c r="M16" s="111">
        <v>27.5</v>
      </c>
      <c r="N16" s="111">
        <v>25</v>
      </c>
      <c r="O16" s="111">
        <v>19.7</v>
      </c>
      <c r="P16" s="111">
        <v>27.1</v>
      </c>
      <c r="Q16" s="111">
        <v>44.33</v>
      </c>
      <c r="R16" s="111">
        <v>21.08</v>
      </c>
      <c r="S16" s="111">
        <v>26.19</v>
      </c>
      <c r="T16" s="111">
        <v>27.1</v>
      </c>
      <c r="U16" s="111">
        <v>15.14</v>
      </c>
      <c r="V16" s="111">
        <v>18.9</v>
      </c>
      <c r="W16" s="111">
        <v>18</v>
      </c>
      <c r="X16" s="111">
        <v>7.4</v>
      </c>
      <c r="Y16" s="111">
        <v>2.12</v>
      </c>
      <c r="Z16" s="111">
        <v>25.4</v>
      </c>
      <c r="AA16" s="111">
        <v>21.5</v>
      </c>
      <c r="AB16" s="111">
        <v>33.7</v>
      </c>
      <c r="AC16" s="111">
        <v>18.74</v>
      </c>
      <c r="AD16" s="111">
        <v>9.67</v>
      </c>
      <c r="AE16" s="111">
        <v>1.5</v>
      </c>
      <c r="AF16" s="111">
        <v>38.6</v>
      </c>
      <c r="AG16" s="111">
        <v>4.6</v>
      </c>
      <c r="AH16" s="111">
        <v>1.7</v>
      </c>
      <c r="AI16" s="111">
        <v>12.8</v>
      </c>
      <c r="AJ16" s="111">
        <v>17.79</v>
      </c>
      <c r="AK16" s="111">
        <v>15.3</v>
      </c>
      <c r="AL16" s="111">
        <v>0</v>
      </c>
      <c r="AM16" s="111">
        <v>10.32</v>
      </c>
      <c r="AN16" s="111">
        <v>13.53</v>
      </c>
      <c r="AO16" s="111">
        <v>17.8</v>
      </c>
      <c r="AP16" s="111">
        <v>13.7</v>
      </c>
      <c r="AQ16" s="111"/>
      <c r="AR16" s="111">
        <v>15.38</v>
      </c>
      <c r="AS16" s="111">
        <v>25.13</v>
      </c>
      <c r="AT16" s="111">
        <v>10.52</v>
      </c>
      <c r="AU16" s="111">
        <v>2.8</v>
      </c>
      <c r="AV16" s="111">
        <v>5.83</v>
      </c>
      <c r="AW16" s="111">
        <v>13.5</v>
      </c>
      <c r="AX16" s="111">
        <v>32.42</v>
      </c>
      <c r="AY16" s="111">
        <v>2.9</v>
      </c>
      <c r="AZ16" s="111">
        <v>0</v>
      </c>
      <c r="BA16" s="111">
        <v>3.22</v>
      </c>
      <c r="BB16" s="111">
        <v>0</v>
      </c>
      <c r="BC16" s="111">
        <v>0</v>
      </c>
      <c r="BD16" s="111"/>
      <c r="BE16" s="111">
        <v>4.43</v>
      </c>
      <c r="BF16" s="111">
        <v>0</v>
      </c>
      <c r="BG16" s="111">
        <v>0</v>
      </c>
      <c r="BH16" s="111">
        <v>4.2</v>
      </c>
      <c r="BI16" s="111">
        <v>4.5</v>
      </c>
      <c r="BJ16" s="111">
        <v>0</v>
      </c>
      <c r="BL16" s="111">
        <f>(SUM(C16:BJ16))/58</f>
        <v>14.64362068965517</v>
      </c>
      <c r="BM16" s="111"/>
      <c r="BN16" s="111">
        <f t="shared" si="2"/>
        <v>9.663076923076922</v>
      </c>
      <c r="BO16" s="111">
        <f>(C16+E16+F16+G16+H16+I16+J16+K16+L16+M16+N16+O16+P16+Q16+R16+S16+T16+U16+V16+X16+Y16+Z16+AA16+AB16+AC16+AD16+AF16+AG16+AH16+AJ16+AK16+AL16+AM16+AN16+AP16+AR16+AU16+AW16+AY16+AZ16+BB16+BD16+BI16+BJ16+AS16+BG16)/45</f>
        <v>16.08244444444444</v>
      </c>
      <c r="BP16" s="111"/>
      <c r="BQ16" s="111"/>
      <c r="BR16" s="111"/>
      <c r="BS16" s="111"/>
      <c r="BT16" s="111"/>
      <c r="BU16" s="111"/>
      <c r="BV16" s="111"/>
    </row>
    <row r="17" spans="1:69" ht="12.75">
      <c r="A17" s="20" t="s">
        <v>471</v>
      </c>
      <c r="B17" s="34">
        <v>4</v>
      </c>
      <c r="C17" s="41">
        <f>C15+C16</f>
        <v>100</v>
      </c>
      <c r="D17" s="41">
        <f>D15+D16</f>
        <v>100</v>
      </c>
      <c r="E17" s="41">
        <f aca="true" t="shared" si="5" ref="E17:BC17">E15+E16</f>
        <v>100</v>
      </c>
      <c r="F17" s="41">
        <f>F15+F16</f>
        <v>100</v>
      </c>
      <c r="G17" s="41">
        <f t="shared" si="5"/>
        <v>100</v>
      </c>
      <c r="H17" s="41">
        <f t="shared" si="5"/>
        <v>100</v>
      </c>
      <c r="I17" s="41">
        <f t="shared" si="5"/>
        <v>100</v>
      </c>
      <c r="J17" s="41">
        <f t="shared" si="5"/>
        <v>100</v>
      </c>
      <c r="K17" s="41">
        <f t="shared" si="5"/>
        <v>100</v>
      </c>
      <c r="L17" s="41">
        <f t="shared" si="5"/>
        <v>100</v>
      </c>
      <c r="M17" s="41">
        <f t="shared" si="5"/>
        <v>100</v>
      </c>
      <c r="N17" s="41">
        <f>N15+N16</f>
        <v>100</v>
      </c>
      <c r="O17" s="41">
        <f t="shared" si="5"/>
        <v>100</v>
      </c>
      <c r="P17" s="41">
        <f t="shared" si="5"/>
        <v>100</v>
      </c>
      <c r="Q17" s="41">
        <f>Q15+Q16</f>
        <v>100</v>
      </c>
      <c r="R17" s="41">
        <f t="shared" si="5"/>
        <v>100</v>
      </c>
      <c r="S17" s="41">
        <f t="shared" si="5"/>
        <v>100</v>
      </c>
      <c r="T17" s="41">
        <f>T15+T16</f>
        <v>100</v>
      </c>
      <c r="U17" s="41">
        <f t="shared" si="5"/>
        <v>100</v>
      </c>
      <c r="V17" s="41">
        <f>V15+V16</f>
        <v>100</v>
      </c>
      <c r="W17" s="41">
        <f>W15+W16</f>
        <v>100</v>
      </c>
      <c r="X17" s="41">
        <f t="shared" si="5"/>
        <v>100</v>
      </c>
      <c r="Y17" s="41">
        <f>Y15+Y16</f>
        <v>100</v>
      </c>
      <c r="Z17" s="41">
        <f>Z15+Z16</f>
        <v>100</v>
      </c>
      <c r="AA17" s="41">
        <f t="shared" si="5"/>
        <v>100</v>
      </c>
      <c r="AB17" s="41">
        <f t="shared" si="5"/>
        <v>100</v>
      </c>
      <c r="AC17" s="41">
        <f>AC15+AC16</f>
        <v>100</v>
      </c>
      <c r="AD17" s="41">
        <f>AD15+AD16</f>
        <v>100</v>
      </c>
      <c r="AE17" s="41">
        <f t="shared" si="5"/>
        <v>100</v>
      </c>
      <c r="AF17" s="41">
        <f>AF15+AF16</f>
        <v>100</v>
      </c>
      <c r="AG17" s="41">
        <f t="shared" si="5"/>
        <v>100</v>
      </c>
      <c r="AH17" s="41">
        <f t="shared" si="5"/>
        <v>100</v>
      </c>
      <c r="AI17" s="41">
        <f t="shared" si="5"/>
        <v>100</v>
      </c>
      <c r="AJ17" s="41">
        <f>AJ15+AJ16</f>
        <v>100</v>
      </c>
      <c r="AK17" s="41">
        <f t="shared" si="5"/>
        <v>100</v>
      </c>
      <c r="AL17" s="41">
        <f t="shared" si="5"/>
        <v>100</v>
      </c>
      <c r="AM17" s="41">
        <f>AM15+AM16</f>
        <v>100</v>
      </c>
      <c r="AN17" s="41">
        <f t="shared" si="5"/>
        <v>100</v>
      </c>
      <c r="AO17" s="41">
        <f t="shared" si="5"/>
        <v>100</v>
      </c>
      <c r="AP17" s="41">
        <f t="shared" si="5"/>
        <v>100</v>
      </c>
      <c r="AQ17" s="41"/>
      <c r="AR17" s="41">
        <f t="shared" si="5"/>
        <v>100</v>
      </c>
      <c r="AS17" s="41">
        <f>AS15+AS16</f>
        <v>100</v>
      </c>
      <c r="AT17" s="41">
        <f t="shared" si="5"/>
        <v>100</v>
      </c>
      <c r="AU17" s="41">
        <f t="shared" si="5"/>
        <v>100</v>
      </c>
      <c r="AV17" s="41">
        <f t="shared" si="5"/>
        <v>100</v>
      </c>
      <c r="AW17" s="41">
        <f t="shared" si="5"/>
        <v>100</v>
      </c>
      <c r="AX17" s="41">
        <f>AX15+AX16</f>
        <v>100</v>
      </c>
      <c r="AY17" s="41">
        <f t="shared" si="5"/>
        <v>100</v>
      </c>
      <c r="AZ17" s="41">
        <f t="shared" si="5"/>
        <v>100</v>
      </c>
      <c r="BA17" s="41">
        <f>BA15+BA16</f>
        <v>100</v>
      </c>
      <c r="BB17" s="41">
        <f t="shared" si="5"/>
        <v>100</v>
      </c>
      <c r="BC17" s="41">
        <f t="shared" si="5"/>
        <v>100</v>
      </c>
      <c r="BD17" s="41"/>
      <c r="BE17" s="41">
        <f aca="true" t="shared" si="6" ref="BE17:BJ17">BE15+BE16</f>
        <v>100</v>
      </c>
      <c r="BF17" s="41">
        <f t="shared" si="6"/>
        <v>100</v>
      </c>
      <c r="BG17" s="41">
        <f>BG15+BG16</f>
        <v>100</v>
      </c>
      <c r="BH17" s="41">
        <f t="shared" si="6"/>
        <v>99.5</v>
      </c>
      <c r="BI17" s="41">
        <f t="shared" si="6"/>
        <v>99.8</v>
      </c>
      <c r="BJ17" s="41">
        <f t="shared" si="6"/>
        <v>100</v>
      </c>
      <c r="BL17" s="41">
        <f>BL15+BL16</f>
        <v>99.98793103448274</v>
      </c>
      <c r="BM17" s="41"/>
      <c r="BN17" s="41">
        <f>BN15+BN16</f>
        <v>99.96153846153845</v>
      </c>
      <c r="BO17" s="41">
        <f>BO15+BO16</f>
        <v>99.99555555555554</v>
      </c>
      <c r="BP17" s="47"/>
      <c r="BQ17" s="47"/>
    </row>
    <row r="18" spans="1:69" ht="17.25" customHeight="1">
      <c r="A18" s="22" t="s">
        <v>149</v>
      </c>
      <c r="B18" s="34">
        <v>5</v>
      </c>
      <c r="C18" s="47">
        <v>23209</v>
      </c>
      <c r="D18" s="47">
        <v>23404</v>
      </c>
      <c r="E18" s="47">
        <v>16530</v>
      </c>
      <c r="F18" s="47">
        <v>10185</v>
      </c>
      <c r="G18" s="47">
        <v>4012</v>
      </c>
      <c r="H18" s="47">
        <v>6803</v>
      </c>
      <c r="I18" s="47">
        <v>7648</v>
      </c>
      <c r="J18" s="47">
        <v>1638</v>
      </c>
      <c r="K18" s="47">
        <v>2930</v>
      </c>
      <c r="L18" s="47">
        <v>4594</v>
      </c>
      <c r="M18" s="47">
        <v>3905</v>
      </c>
      <c r="N18" s="47">
        <v>2753</v>
      </c>
      <c r="O18" s="47">
        <v>5122</v>
      </c>
      <c r="P18" s="47">
        <v>1095</v>
      </c>
      <c r="Q18" s="47">
        <v>1646</v>
      </c>
      <c r="R18" s="47">
        <v>3175</v>
      </c>
      <c r="S18" s="47">
        <v>1722</v>
      </c>
      <c r="T18" s="47">
        <v>2914</v>
      </c>
      <c r="U18" s="47">
        <v>2686</v>
      </c>
      <c r="V18" s="47">
        <v>4241</v>
      </c>
      <c r="W18" s="47">
        <v>1007</v>
      </c>
      <c r="X18" s="47">
        <v>336</v>
      </c>
      <c r="Y18" s="47">
        <v>276.2</v>
      </c>
      <c r="Z18" s="47">
        <v>5088</v>
      </c>
      <c r="AA18" s="47">
        <v>966</v>
      </c>
      <c r="AB18" s="47">
        <v>2248</v>
      </c>
      <c r="AC18" s="47">
        <v>2642</v>
      </c>
      <c r="AD18" s="47">
        <v>978</v>
      </c>
      <c r="AE18" s="47">
        <v>2820</v>
      </c>
      <c r="AF18" s="47">
        <v>379</v>
      </c>
      <c r="AG18" s="47">
        <v>603</v>
      </c>
      <c r="AH18" s="47">
        <v>0</v>
      </c>
      <c r="AI18" s="47">
        <v>0</v>
      </c>
      <c r="AJ18" s="47">
        <v>651</v>
      </c>
      <c r="AK18" s="47">
        <v>0</v>
      </c>
      <c r="AL18" s="47">
        <v>700</v>
      </c>
      <c r="AM18" s="47">
        <v>268</v>
      </c>
      <c r="AN18" s="47">
        <v>141</v>
      </c>
      <c r="AO18" s="47">
        <v>361</v>
      </c>
      <c r="AP18" s="47">
        <v>0</v>
      </c>
      <c r="AQ18" s="47">
        <f>466+162</f>
        <v>628</v>
      </c>
      <c r="AR18" s="47">
        <v>309</v>
      </c>
      <c r="AS18" s="47">
        <v>0</v>
      </c>
      <c r="AT18" s="47">
        <v>413</v>
      </c>
      <c r="AU18" s="47">
        <v>535</v>
      </c>
      <c r="AV18" s="47">
        <v>216</v>
      </c>
      <c r="AW18" s="47">
        <v>0</v>
      </c>
      <c r="AX18" s="47">
        <v>9320</v>
      </c>
      <c r="AY18" s="47">
        <v>0</v>
      </c>
      <c r="AZ18" s="47">
        <v>0</v>
      </c>
      <c r="BA18" s="47">
        <v>182</v>
      </c>
      <c r="BB18" s="47">
        <v>0</v>
      </c>
      <c r="BC18" s="47">
        <v>61</v>
      </c>
      <c r="BD18" s="47">
        <v>0</v>
      </c>
      <c r="BE18" s="47">
        <v>34</v>
      </c>
      <c r="BF18" s="47">
        <v>0</v>
      </c>
      <c r="BG18" s="47">
        <v>0</v>
      </c>
      <c r="BH18" s="47">
        <v>103</v>
      </c>
      <c r="BI18" s="47">
        <v>0</v>
      </c>
      <c r="BJ18" s="47">
        <v>0</v>
      </c>
      <c r="BL18" s="47">
        <f>SUM(C18:BJ18)</f>
        <v>161477.2</v>
      </c>
      <c r="BM18" s="47"/>
      <c r="BN18" s="47">
        <f>D18+W18+AE18+AI18+AO18+AQ18+AT18+AV18+AX18+BA18+BC18+BE18+BF18+BH18</f>
        <v>38549</v>
      </c>
      <c r="BO18" s="47">
        <f>C18+E18+F18+G18+H18+I18+J18+K18+L18+M18+N18+O18+P18+Q18+R18+S18+T18+U18+V18+X18+Y18+Z18+AA18+AB18+AC18+AD18+AF18+AG18+AH18+AJ18+AK18+AL18+AM18+AN18+AP18+AR18+AS18+AU18+AW18+AY18+AZ18+BB18+BD18+BG18+BI18+BJ18</f>
        <v>122928.2</v>
      </c>
      <c r="BP18" s="47"/>
      <c r="BQ18" s="47"/>
    </row>
    <row r="19" spans="1:69" ht="12" customHeight="1">
      <c r="A19" s="22" t="s">
        <v>150</v>
      </c>
      <c r="B19" s="34">
        <v>6</v>
      </c>
      <c r="C19" s="47">
        <v>4289</v>
      </c>
      <c r="D19" s="47">
        <v>6999</v>
      </c>
      <c r="E19" s="47">
        <v>8008</v>
      </c>
      <c r="F19" s="47">
        <v>3119</v>
      </c>
      <c r="G19" s="47">
        <v>2555</v>
      </c>
      <c r="H19" s="47">
        <v>2216</v>
      </c>
      <c r="I19" s="47">
        <v>1248</v>
      </c>
      <c r="J19" s="47">
        <v>382</v>
      </c>
      <c r="K19" s="47">
        <v>1972</v>
      </c>
      <c r="L19" s="47">
        <v>387</v>
      </c>
      <c r="M19" s="47">
        <v>996</v>
      </c>
      <c r="N19" s="47">
        <v>806</v>
      </c>
      <c r="O19" s="47">
        <v>3516</v>
      </c>
      <c r="P19" s="47">
        <v>140</v>
      </c>
      <c r="Q19" s="47">
        <v>100</v>
      </c>
      <c r="R19" s="47">
        <v>1314</v>
      </c>
      <c r="S19" s="47">
        <v>554</v>
      </c>
      <c r="T19" s="47">
        <v>125</v>
      </c>
      <c r="U19" s="47">
        <v>981</v>
      </c>
      <c r="V19" s="47">
        <v>101</v>
      </c>
      <c r="W19" s="47">
        <v>378</v>
      </c>
      <c r="X19" s="47">
        <v>77</v>
      </c>
      <c r="Y19" s="47">
        <v>139</v>
      </c>
      <c r="Z19" s="47">
        <v>84</v>
      </c>
      <c r="AA19" s="47">
        <v>33</v>
      </c>
      <c r="AB19" s="47">
        <v>696</v>
      </c>
      <c r="AC19" s="47">
        <v>40</v>
      </c>
      <c r="AD19" s="47">
        <v>540</v>
      </c>
      <c r="AE19" s="47">
        <v>1486</v>
      </c>
      <c r="AF19" s="47">
        <v>127</v>
      </c>
      <c r="AG19" s="47">
        <v>380</v>
      </c>
      <c r="AH19" s="47">
        <v>200</v>
      </c>
      <c r="AI19" s="47">
        <v>98</v>
      </c>
      <c r="AJ19" s="47">
        <v>125</v>
      </c>
      <c r="AK19" s="47">
        <v>98</v>
      </c>
      <c r="AL19" s="47">
        <v>201</v>
      </c>
      <c r="AM19" s="47">
        <v>58</v>
      </c>
      <c r="AN19" s="47">
        <v>18</v>
      </c>
      <c r="AO19" s="47">
        <v>122</v>
      </c>
      <c r="AP19" s="47">
        <v>219</v>
      </c>
      <c r="AQ19" s="47">
        <v>169</v>
      </c>
      <c r="AR19" s="47">
        <v>17</v>
      </c>
      <c r="AS19" s="47">
        <v>3</v>
      </c>
      <c r="AT19" s="47">
        <v>188</v>
      </c>
      <c r="AU19" s="47">
        <v>162</v>
      </c>
      <c r="AV19" s="47">
        <v>132</v>
      </c>
      <c r="AW19" s="47">
        <v>199</v>
      </c>
      <c r="AX19" s="47">
        <v>1</v>
      </c>
      <c r="AY19" s="47">
        <v>76</v>
      </c>
      <c r="AZ19" s="47">
        <v>104</v>
      </c>
      <c r="BA19" s="47">
        <v>71</v>
      </c>
      <c r="BB19" s="47">
        <v>110</v>
      </c>
      <c r="BC19" s="47">
        <v>45.4</v>
      </c>
      <c r="BD19" s="47">
        <v>307</v>
      </c>
      <c r="BE19" s="47">
        <v>30</v>
      </c>
      <c r="BF19" s="47">
        <v>114</v>
      </c>
      <c r="BG19" s="47">
        <v>1</v>
      </c>
      <c r="BH19" s="47">
        <v>113</v>
      </c>
      <c r="BI19" s="47">
        <v>18</v>
      </c>
      <c r="BJ19" s="47">
        <v>4</v>
      </c>
      <c r="BL19" s="47">
        <f>SUM(C19:BJ19)</f>
        <v>46791.4</v>
      </c>
      <c r="BM19" s="47"/>
      <c r="BN19" s="47">
        <f>D19+W19+AE19+AI19+AO19+AQ19+AT19+AV19+AX19+BA19+BC19+BE19+BF19+BH19</f>
        <v>9946.4</v>
      </c>
      <c r="BO19" s="47">
        <f>C19+E19+F19+G19+H19+I19+J19+K19+L19+M19+N19+O19+P19+Q19+R19+S19+T19+U19+V19+X19+Y19+Z19+AA19+AB19+AC19+AD19+AF19+AG19+AH19+AJ19+AK19+AL19+AM19+AN19+AP19+AR19+AS19+AU19+AW19+AY19+AZ19+BB19+BD19+BG19+BI19+BJ19</f>
        <v>36845</v>
      </c>
      <c r="BP19" s="47"/>
      <c r="BQ19" s="47"/>
    </row>
    <row r="20" spans="1:69" ht="18" customHeight="1">
      <c r="A20" s="22" t="s">
        <v>151</v>
      </c>
      <c r="B20" s="34"/>
      <c r="C20" s="111">
        <v>62</v>
      </c>
      <c r="D20" s="111">
        <v>70.5</v>
      </c>
      <c r="E20" s="111">
        <v>61</v>
      </c>
      <c r="F20" s="111">
        <v>62</v>
      </c>
      <c r="G20" s="111">
        <v>41</v>
      </c>
      <c r="H20" s="111">
        <v>53.1</v>
      </c>
      <c r="I20" s="111">
        <v>54.98</v>
      </c>
      <c r="J20" s="111">
        <v>78.3</v>
      </c>
      <c r="K20" s="111">
        <v>68.1</v>
      </c>
      <c r="L20" s="111">
        <v>46</v>
      </c>
      <c r="M20" s="111">
        <v>43.4</v>
      </c>
      <c r="N20" s="111">
        <v>40.5</v>
      </c>
      <c r="O20" s="111">
        <v>68.71</v>
      </c>
      <c r="P20" s="111">
        <v>74.9</v>
      </c>
      <c r="Q20" s="111">
        <v>81</v>
      </c>
      <c r="R20" s="111">
        <v>47</v>
      </c>
      <c r="S20" s="111">
        <v>35.7</v>
      </c>
      <c r="T20" s="111">
        <v>85.5</v>
      </c>
      <c r="U20" s="111">
        <v>51.9</v>
      </c>
      <c r="V20" s="111">
        <v>90.4</v>
      </c>
      <c r="W20" s="111">
        <v>86.3</v>
      </c>
      <c r="X20" s="111">
        <v>64.98</v>
      </c>
      <c r="Y20" s="111">
        <v>73.12</v>
      </c>
      <c r="Z20" s="111">
        <v>100</v>
      </c>
      <c r="AA20" s="111">
        <v>62.54</v>
      </c>
      <c r="AB20" s="111">
        <v>52.46</v>
      </c>
      <c r="AC20" s="111">
        <v>98.23</v>
      </c>
      <c r="AD20" s="111">
        <v>42</v>
      </c>
      <c r="AE20" s="111">
        <v>65.8</v>
      </c>
      <c r="AF20" s="111">
        <v>73.3</v>
      </c>
      <c r="AG20" s="111">
        <v>60.6</v>
      </c>
      <c r="AH20" s="111">
        <v>70.1</v>
      </c>
      <c r="AI20" s="111">
        <v>90.4</v>
      </c>
      <c r="AJ20" s="111">
        <v>39.77</v>
      </c>
      <c r="AK20" s="111">
        <v>78.6</v>
      </c>
      <c r="AL20" s="111">
        <v>58.6</v>
      </c>
      <c r="AM20" s="111">
        <v>57.8</v>
      </c>
      <c r="AN20" s="111">
        <v>72.03</v>
      </c>
      <c r="AO20" s="111">
        <v>73.9</v>
      </c>
      <c r="AP20" s="111">
        <v>69.6</v>
      </c>
      <c r="AQ20" s="111">
        <v>77.5</v>
      </c>
      <c r="AR20" s="111">
        <v>83.7</v>
      </c>
      <c r="AS20" s="111">
        <v>100</v>
      </c>
      <c r="AT20" s="111">
        <v>65.94</v>
      </c>
      <c r="AU20" s="111">
        <v>40.2</v>
      </c>
      <c r="AV20" s="111">
        <v>66.8</v>
      </c>
      <c r="AW20" s="111">
        <v>79.8</v>
      </c>
      <c r="AX20" s="111">
        <v>100</v>
      </c>
      <c r="AY20" s="111">
        <v>72.4</v>
      </c>
      <c r="AZ20" s="111">
        <v>83.4</v>
      </c>
      <c r="BA20" s="111">
        <v>72.6</v>
      </c>
      <c r="BB20" s="111">
        <v>72</v>
      </c>
      <c r="BC20" s="111">
        <v>67.6</v>
      </c>
      <c r="BD20" s="111">
        <v>46.23</v>
      </c>
      <c r="BE20" s="111">
        <v>64</v>
      </c>
      <c r="BF20" s="111">
        <v>70.2</v>
      </c>
      <c r="BG20" s="111">
        <v>100</v>
      </c>
      <c r="BH20" s="111">
        <v>60</v>
      </c>
      <c r="BI20" s="111">
        <v>67</v>
      </c>
      <c r="BJ20" s="111">
        <v>100</v>
      </c>
      <c r="BL20" s="111">
        <f>(BL$61/BL66)*100</f>
        <v>64.56377623287102</v>
      </c>
      <c r="BM20" s="111"/>
      <c r="BN20" s="111">
        <f>(BN$61/BN66)*100</f>
        <v>70.84447516591949</v>
      </c>
      <c r="BO20" s="111">
        <f>(BO$61/BO66)*100</f>
        <v>59.74887666056651</v>
      </c>
      <c r="BP20" s="111"/>
      <c r="BQ20" s="111"/>
    </row>
    <row r="21" spans="1:69" ht="12.75">
      <c r="A21" s="22" t="s">
        <v>152</v>
      </c>
      <c r="B21" s="34"/>
      <c r="C21" s="111">
        <v>23.7</v>
      </c>
      <c r="D21" s="111">
        <v>3.6</v>
      </c>
      <c r="E21" s="111">
        <v>28</v>
      </c>
      <c r="F21" s="111">
        <v>17.6</v>
      </c>
      <c r="G21" s="111">
        <v>42</v>
      </c>
      <c r="H21" s="111">
        <v>35</v>
      </c>
      <c r="I21" s="111">
        <v>31.63</v>
      </c>
      <c r="J21" s="111">
        <v>7</v>
      </c>
      <c r="K21" s="111">
        <v>14.9</v>
      </c>
      <c r="L21" s="111">
        <v>32.4</v>
      </c>
      <c r="M21" s="111">
        <v>42.2</v>
      </c>
      <c r="N21" s="111">
        <v>42.3</v>
      </c>
      <c r="O21" s="111">
        <v>19.22</v>
      </c>
      <c r="P21" s="111">
        <v>6.65</v>
      </c>
      <c r="Q21" s="111">
        <v>3</v>
      </c>
      <c r="R21" s="111">
        <v>39.8</v>
      </c>
      <c r="S21" s="111">
        <v>47.3</v>
      </c>
      <c r="T21" s="111">
        <v>1.4</v>
      </c>
      <c r="U21" s="111">
        <v>36.2</v>
      </c>
      <c r="V21" s="111">
        <v>0.5</v>
      </c>
      <c r="W21" s="111">
        <v>11.6</v>
      </c>
      <c r="X21" s="111">
        <v>23.19</v>
      </c>
      <c r="Y21" s="111">
        <v>2.96</v>
      </c>
      <c r="Z21" s="111">
        <v>0</v>
      </c>
      <c r="AA21" s="111">
        <v>36.68</v>
      </c>
      <c r="AB21" s="111">
        <v>36.69</v>
      </c>
      <c r="AC21" s="111">
        <v>0.22</v>
      </c>
      <c r="AD21" s="111">
        <v>40</v>
      </c>
      <c r="AE21" s="111">
        <v>6.4</v>
      </c>
      <c r="AF21" s="111">
        <v>8.9</v>
      </c>
      <c r="AG21" s="111">
        <v>20</v>
      </c>
      <c r="AH21" s="111">
        <v>8.4</v>
      </c>
      <c r="AI21" s="111">
        <v>0.3</v>
      </c>
      <c r="AJ21" s="111">
        <v>42.3</v>
      </c>
      <c r="AK21" s="111">
        <v>1.4</v>
      </c>
      <c r="AL21" s="111">
        <v>28.4</v>
      </c>
      <c r="AM21" s="111">
        <v>19.19</v>
      </c>
      <c r="AN21" s="111">
        <v>23.67</v>
      </c>
      <c r="AO21" s="111">
        <v>4.8</v>
      </c>
      <c r="AP21" s="111">
        <v>13</v>
      </c>
      <c r="AQ21" s="111">
        <v>3.3</v>
      </c>
      <c r="AR21" s="111">
        <v>5.5</v>
      </c>
      <c r="AS21" s="111">
        <v>0</v>
      </c>
      <c r="AT21" s="111">
        <v>6.45</v>
      </c>
      <c r="AU21" s="111">
        <v>44.1</v>
      </c>
      <c r="AV21" s="111">
        <v>11.4</v>
      </c>
      <c r="AW21" s="111">
        <v>13.4</v>
      </c>
      <c r="AX21" s="111">
        <v>0</v>
      </c>
      <c r="AY21" s="111">
        <v>0</v>
      </c>
      <c r="AZ21" s="111">
        <v>2.7</v>
      </c>
      <c r="BA21" s="111">
        <v>4.6</v>
      </c>
      <c r="BB21" s="111">
        <v>6</v>
      </c>
      <c r="BC21" s="111">
        <v>6.5</v>
      </c>
      <c r="BD21" s="111">
        <v>23.12</v>
      </c>
      <c r="BE21" s="111">
        <v>2</v>
      </c>
      <c r="BF21" s="111">
        <v>2.6</v>
      </c>
      <c r="BG21" s="111">
        <v>0</v>
      </c>
      <c r="BH21" s="111">
        <v>8.5</v>
      </c>
      <c r="BI21" s="111">
        <v>0</v>
      </c>
      <c r="BJ21" s="111">
        <v>0</v>
      </c>
      <c r="BL21" s="111">
        <f>(BL62/BL66)*100</f>
        <v>16.184049065567237</v>
      </c>
      <c r="BM21" s="111"/>
      <c r="BN21" s="111">
        <f>(BN62/BN66)*100</f>
        <v>4.3939012183111155</v>
      </c>
      <c r="BO21" s="111">
        <f>(BO62/BO66)*100</f>
        <v>25.222593729513836</v>
      </c>
      <c r="BP21" s="111"/>
      <c r="BQ21" s="111"/>
    </row>
    <row r="22" spans="1:69" ht="12.75">
      <c r="A22" s="22" t="s">
        <v>153</v>
      </c>
      <c r="B22" s="34"/>
      <c r="C22" s="111">
        <v>11.3</v>
      </c>
      <c r="D22" s="111">
        <v>25.5</v>
      </c>
      <c r="E22" s="111">
        <v>9</v>
      </c>
      <c r="F22" s="111">
        <v>17.5</v>
      </c>
      <c r="G22" s="111">
        <v>12</v>
      </c>
      <c r="H22" s="111">
        <v>8.9</v>
      </c>
      <c r="I22" s="111">
        <v>10.61</v>
      </c>
      <c r="J22" s="111">
        <v>14.5</v>
      </c>
      <c r="K22" s="111">
        <v>16.3</v>
      </c>
      <c r="L22" s="111">
        <v>18.6</v>
      </c>
      <c r="M22" s="111">
        <v>11.1</v>
      </c>
      <c r="N22" s="111">
        <v>13.4</v>
      </c>
      <c r="O22" s="111">
        <v>9.23</v>
      </c>
      <c r="P22" s="111">
        <v>17.78</v>
      </c>
      <c r="Q22" s="111">
        <v>15</v>
      </c>
      <c r="R22" s="111">
        <v>9.6</v>
      </c>
      <c r="S22" s="111">
        <v>13</v>
      </c>
      <c r="T22" s="111">
        <v>7.1</v>
      </c>
      <c r="U22" s="111">
        <v>8.7</v>
      </c>
      <c r="V22" s="111">
        <v>3.3</v>
      </c>
      <c r="W22" s="111">
        <v>1.6</v>
      </c>
      <c r="X22" s="111">
        <v>9.96</v>
      </c>
      <c r="Y22" s="111">
        <v>23.31</v>
      </c>
      <c r="Z22" s="111">
        <v>0</v>
      </c>
      <c r="AA22" s="111">
        <v>0.78</v>
      </c>
      <c r="AB22" s="111">
        <v>7.07</v>
      </c>
      <c r="AC22" s="111">
        <v>0.24</v>
      </c>
      <c r="AD22" s="111">
        <v>12</v>
      </c>
      <c r="AE22" s="111">
        <v>27.6</v>
      </c>
      <c r="AF22" s="111">
        <v>17.2</v>
      </c>
      <c r="AG22" s="111">
        <v>18.4</v>
      </c>
      <c r="AH22" s="111">
        <v>21.3</v>
      </c>
      <c r="AI22" s="111">
        <v>9.2</v>
      </c>
      <c r="AJ22" s="111">
        <v>14.74</v>
      </c>
      <c r="AK22" s="111">
        <v>20</v>
      </c>
      <c r="AL22" s="111">
        <v>10.4</v>
      </c>
      <c r="AM22" s="111">
        <v>21.96</v>
      </c>
      <c r="AN22" s="111">
        <v>3.7</v>
      </c>
      <c r="AO22" s="111">
        <v>21.3</v>
      </c>
      <c r="AP22" s="111">
        <v>17.4</v>
      </c>
      <c r="AQ22" s="111">
        <v>18</v>
      </c>
      <c r="AR22" s="111">
        <v>7.8</v>
      </c>
      <c r="AS22" s="111">
        <v>0</v>
      </c>
      <c r="AT22" s="111">
        <v>27.13</v>
      </c>
      <c r="AU22" s="111">
        <v>12.3</v>
      </c>
      <c r="AV22" s="111">
        <v>21.2</v>
      </c>
      <c r="AW22" s="111">
        <v>6.5</v>
      </c>
      <c r="AX22" s="111">
        <v>0</v>
      </c>
      <c r="AY22" s="111">
        <v>26.6</v>
      </c>
      <c r="AZ22" s="111">
        <v>13.9</v>
      </c>
      <c r="BA22" s="111">
        <v>21.8</v>
      </c>
      <c r="BB22" s="111">
        <v>22</v>
      </c>
      <c r="BC22" s="111">
        <v>23.8</v>
      </c>
      <c r="BD22" s="111">
        <v>21.73</v>
      </c>
      <c r="BE22" s="111">
        <v>34</v>
      </c>
      <c r="BF22" s="111">
        <v>27</v>
      </c>
      <c r="BG22" s="111">
        <v>0</v>
      </c>
      <c r="BH22" s="111">
        <v>30.7</v>
      </c>
      <c r="BI22" s="111">
        <v>33</v>
      </c>
      <c r="BJ22" s="111">
        <v>0</v>
      </c>
      <c r="BL22" s="111">
        <f>(BL63/BL66)*100</f>
        <v>17.597013951066074</v>
      </c>
      <c r="BM22" s="111"/>
      <c r="BN22" s="111">
        <f>(BN63/BN66)*100</f>
        <v>24.368539748090708</v>
      </c>
      <c r="BO22" s="111">
        <f>(BO63/BO66)*100</f>
        <v>12.405837457573869</v>
      </c>
      <c r="BP22" s="111"/>
      <c r="BQ22" s="111"/>
    </row>
    <row r="23" spans="1:69" ht="12.75">
      <c r="A23" s="22" t="s">
        <v>154</v>
      </c>
      <c r="B23" s="34"/>
      <c r="C23" s="111">
        <v>3</v>
      </c>
      <c r="D23" s="111">
        <v>0.4</v>
      </c>
      <c r="E23" s="111">
        <v>2</v>
      </c>
      <c r="F23" s="111">
        <v>2.9</v>
      </c>
      <c r="G23" s="111">
        <v>5</v>
      </c>
      <c r="H23" s="111">
        <v>3</v>
      </c>
      <c r="I23" s="111">
        <v>2.78</v>
      </c>
      <c r="J23" s="111">
        <v>0.2</v>
      </c>
      <c r="K23" s="111">
        <v>0.8</v>
      </c>
      <c r="L23" s="111">
        <v>3</v>
      </c>
      <c r="M23" s="111">
        <v>3.3</v>
      </c>
      <c r="N23" s="111">
        <v>3.8</v>
      </c>
      <c r="O23" s="111">
        <v>2.84</v>
      </c>
      <c r="P23" s="111">
        <v>0.67</v>
      </c>
      <c r="Q23" s="111">
        <v>1</v>
      </c>
      <c r="R23" s="111">
        <v>3.6</v>
      </c>
      <c r="S23" s="111">
        <v>4</v>
      </c>
      <c r="T23" s="111">
        <v>0.3</v>
      </c>
      <c r="U23" s="111">
        <v>3.2</v>
      </c>
      <c r="V23" s="111">
        <v>0.1</v>
      </c>
      <c r="W23" s="111">
        <v>0.5</v>
      </c>
      <c r="X23" s="111">
        <v>1.87</v>
      </c>
      <c r="Y23" s="111">
        <v>0.62</v>
      </c>
      <c r="Z23" s="111">
        <v>0</v>
      </c>
      <c r="AA23" s="111">
        <v>0</v>
      </c>
      <c r="AB23" s="111">
        <v>3.78</v>
      </c>
      <c r="AC23" s="111">
        <v>1.31</v>
      </c>
      <c r="AD23" s="111">
        <v>6</v>
      </c>
      <c r="AE23" s="111">
        <v>0.2</v>
      </c>
      <c r="AF23" s="111">
        <v>0.6</v>
      </c>
      <c r="AG23" s="111">
        <v>1</v>
      </c>
      <c r="AH23" s="111">
        <v>0.2</v>
      </c>
      <c r="AI23" s="111">
        <v>0.1</v>
      </c>
      <c r="AJ23" s="111">
        <v>3.19</v>
      </c>
      <c r="AK23" s="111">
        <v>0</v>
      </c>
      <c r="AL23" s="111">
        <v>2.6</v>
      </c>
      <c r="AM23" s="111">
        <v>1.05</v>
      </c>
      <c r="AN23" s="111">
        <v>0.6</v>
      </c>
      <c r="AO23" s="111">
        <v>0</v>
      </c>
      <c r="AP23" s="111">
        <v>0</v>
      </c>
      <c r="AQ23" s="111">
        <v>1.2</v>
      </c>
      <c r="AR23" s="111">
        <v>3</v>
      </c>
      <c r="AS23" s="111">
        <v>0</v>
      </c>
      <c r="AT23" s="111">
        <v>0.48</v>
      </c>
      <c r="AU23" s="111">
        <v>3.4</v>
      </c>
      <c r="AV23" s="111">
        <v>0.6</v>
      </c>
      <c r="AW23" s="111">
        <v>0.3</v>
      </c>
      <c r="AX23" s="111">
        <v>0</v>
      </c>
      <c r="AY23" s="111">
        <v>1</v>
      </c>
      <c r="AZ23" s="111">
        <v>0</v>
      </c>
      <c r="BA23" s="111">
        <v>1</v>
      </c>
      <c r="BB23" s="111">
        <v>0</v>
      </c>
      <c r="BC23" s="111">
        <v>2.1</v>
      </c>
      <c r="BD23" s="111">
        <v>8.92</v>
      </c>
      <c r="BE23" s="111">
        <v>0</v>
      </c>
      <c r="BF23" s="111">
        <v>0.2</v>
      </c>
      <c r="BG23" s="111">
        <v>0</v>
      </c>
      <c r="BH23" s="111">
        <v>0.8</v>
      </c>
      <c r="BI23" s="111">
        <v>0</v>
      </c>
      <c r="BJ23" s="111">
        <v>0</v>
      </c>
      <c r="BL23" s="111">
        <f>(BL64/BL66)*100</f>
        <v>1.6179199062461742</v>
      </c>
      <c r="BM23" s="111"/>
      <c r="BN23" s="111">
        <f>(BN64/BN66)*100</f>
        <v>0.393083867678669</v>
      </c>
      <c r="BO23" s="111">
        <f>(BO64/BO66)*100</f>
        <v>2.5569017904453846</v>
      </c>
      <c r="BP23" s="111"/>
      <c r="BQ23" s="111"/>
    </row>
    <row r="24" spans="1:69" ht="12.75">
      <c r="A24" s="22" t="s">
        <v>491</v>
      </c>
      <c r="B24" s="34"/>
      <c r="C24" s="111">
        <v>0</v>
      </c>
      <c r="D24" s="111">
        <v>0</v>
      </c>
      <c r="E24" s="111">
        <v>0</v>
      </c>
      <c r="F24" s="111">
        <v>0</v>
      </c>
      <c r="G24" s="111">
        <v>0</v>
      </c>
      <c r="H24" s="111">
        <v>0</v>
      </c>
      <c r="I24" s="111">
        <v>0</v>
      </c>
      <c r="J24" s="111">
        <v>0</v>
      </c>
      <c r="K24" s="111">
        <v>0</v>
      </c>
      <c r="L24" s="111">
        <v>0</v>
      </c>
      <c r="M24" s="111">
        <v>0</v>
      </c>
      <c r="N24" s="111">
        <v>0</v>
      </c>
      <c r="O24" s="111">
        <v>0</v>
      </c>
      <c r="P24" s="111">
        <v>0</v>
      </c>
      <c r="Q24" s="111">
        <v>0</v>
      </c>
      <c r="R24" s="111">
        <v>0</v>
      </c>
      <c r="S24" s="111">
        <v>0</v>
      </c>
      <c r="T24" s="111">
        <v>5.7</v>
      </c>
      <c r="U24" s="111">
        <v>0</v>
      </c>
      <c r="V24" s="111">
        <v>5.7</v>
      </c>
      <c r="W24" s="111">
        <v>0</v>
      </c>
      <c r="X24" s="111">
        <v>0</v>
      </c>
      <c r="Y24" s="111">
        <v>0</v>
      </c>
      <c r="Z24" s="111">
        <v>0</v>
      </c>
      <c r="AA24" s="111">
        <v>0</v>
      </c>
      <c r="AB24" s="111">
        <v>0</v>
      </c>
      <c r="AC24" s="111">
        <v>0</v>
      </c>
      <c r="AD24" s="111">
        <v>0</v>
      </c>
      <c r="AE24" s="111">
        <v>0</v>
      </c>
      <c r="AF24" s="111">
        <v>0</v>
      </c>
      <c r="AG24" s="111">
        <v>0</v>
      </c>
      <c r="AH24" s="111">
        <v>0</v>
      </c>
      <c r="AI24" s="111">
        <v>0</v>
      </c>
      <c r="AJ24" s="111">
        <v>0</v>
      </c>
      <c r="AK24" s="111">
        <v>0</v>
      </c>
      <c r="AL24" s="111">
        <v>0</v>
      </c>
      <c r="AM24" s="111">
        <v>0</v>
      </c>
      <c r="AN24" s="111">
        <v>0</v>
      </c>
      <c r="AO24" s="111">
        <v>0</v>
      </c>
      <c r="AP24" s="111">
        <v>0</v>
      </c>
      <c r="AQ24" s="111">
        <v>0</v>
      </c>
      <c r="AR24" s="111">
        <v>0</v>
      </c>
      <c r="AS24" s="111">
        <v>0</v>
      </c>
      <c r="AT24" s="111">
        <v>0</v>
      </c>
      <c r="AU24" s="111">
        <v>0</v>
      </c>
      <c r="AV24" s="111">
        <v>0</v>
      </c>
      <c r="AW24" s="111">
        <v>0</v>
      </c>
      <c r="AX24" s="111">
        <v>0</v>
      </c>
      <c r="AY24" s="111">
        <v>0</v>
      </c>
      <c r="AZ24" s="111">
        <v>0</v>
      </c>
      <c r="BA24" s="111">
        <v>0</v>
      </c>
      <c r="BB24" s="111">
        <v>0</v>
      </c>
      <c r="BC24" s="111">
        <v>0</v>
      </c>
      <c r="BD24" s="111">
        <v>0</v>
      </c>
      <c r="BE24" s="111">
        <v>0</v>
      </c>
      <c r="BF24" s="111">
        <v>0</v>
      </c>
      <c r="BG24" s="111">
        <v>0</v>
      </c>
      <c r="BH24" s="111">
        <v>0</v>
      </c>
      <c r="BI24" s="111">
        <v>0</v>
      </c>
      <c r="BJ24" s="111">
        <v>0</v>
      </c>
      <c r="BL24" s="111">
        <f>(BL65/BL66)*100</f>
        <v>0.03724084424947959</v>
      </c>
      <c r="BM24" s="111"/>
      <c r="BN24" s="111">
        <f>(BN65/BN66)*100</f>
        <v>0</v>
      </c>
      <c r="BO24" s="111">
        <f>(BO65/BO66)*100</f>
        <v>0.06579036190038307</v>
      </c>
      <c r="BP24" s="111"/>
      <c r="BQ24" s="111"/>
    </row>
    <row r="25" spans="1:69" ht="12.75">
      <c r="A25" s="20" t="s">
        <v>472</v>
      </c>
      <c r="B25" s="34">
        <v>7</v>
      </c>
      <c r="C25" s="112">
        <f aca="true" t="shared" si="7" ref="C25:X25">SUM(C20:C24)</f>
        <v>100</v>
      </c>
      <c r="D25" s="112">
        <f>SUM(D20:D24)</f>
        <v>100</v>
      </c>
      <c r="E25" s="112">
        <f t="shared" si="7"/>
        <v>100</v>
      </c>
      <c r="F25" s="112">
        <f>SUM(F20:F24)</f>
        <v>100</v>
      </c>
      <c r="G25" s="112">
        <f t="shared" si="7"/>
        <v>100</v>
      </c>
      <c r="H25" s="112">
        <f t="shared" si="7"/>
        <v>100</v>
      </c>
      <c r="I25" s="112">
        <f t="shared" si="7"/>
        <v>100</v>
      </c>
      <c r="J25" s="112">
        <f t="shared" si="7"/>
        <v>100</v>
      </c>
      <c r="K25" s="112">
        <f t="shared" si="7"/>
        <v>100.1</v>
      </c>
      <c r="L25" s="112">
        <f t="shared" si="7"/>
        <v>100</v>
      </c>
      <c r="M25" s="112">
        <f t="shared" si="7"/>
        <v>99.99999999999999</v>
      </c>
      <c r="N25" s="112">
        <f>SUM(N20:N24)</f>
        <v>100</v>
      </c>
      <c r="O25" s="112">
        <f t="shared" si="7"/>
        <v>100</v>
      </c>
      <c r="P25" s="112">
        <f t="shared" si="7"/>
        <v>100.00000000000001</v>
      </c>
      <c r="Q25" s="112">
        <f>SUM(Q20:Q24)</f>
        <v>100</v>
      </c>
      <c r="R25" s="112">
        <f t="shared" si="7"/>
        <v>99.99999999999999</v>
      </c>
      <c r="S25" s="112">
        <f t="shared" si="7"/>
        <v>100</v>
      </c>
      <c r="T25" s="112">
        <f>SUM(T20:T24)</f>
        <v>100</v>
      </c>
      <c r="U25" s="112">
        <f t="shared" si="7"/>
        <v>100</v>
      </c>
      <c r="V25" s="112">
        <f>SUM(V20:V24)</f>
        <v>100</v>
      </c>
      <c r="W25" s="112">
        <f>SUM(W20:W24)</f>
        <v>99.99999999999999</v>
      </c>
      <c r="X25" s="112">
        <f t="shared" si="7"/>
        <v>100</v>
      </c>
      <c r="Y25" s="112">
        <f>SUM(Y20:Y24)</f>
        <v>100.01</v>
      </c>
      <c r="Z25" s="112">
        <f>SUM(Z20:Z24)</f>
        <v>100</v>
      </c>
      <c r="AA25" s="112">
        <f aca="true" t="shared" si="8" ref="AA25:BJ25">SUM(AA20:AA24)</f>
        <v>100</v>
      </c>
      <c r="AB25" s="112">
        <f t="shared" si="8"/>
        <v>100</v>
      </c>
      <c r="AC25" s="112">
        <f>SUM(AC20:AC24)</f>
        <v>100</v>
      </c>
      <c r="AD25" s="112">
        <f>SUM(AD20:AD24)</f>
        <v>100</v>
      </c>
      <c r="AE25" s="112">
        <f t="shared" si="8"/>
        <v>100.00000000000001</v>
      </c>
      <c r="AF25" s="112">
        <f>SUM(AF20:AF24)</f>
        <v>100</v>
      </c>
      <c r="AG25" s="112">
        <f t="shared" si="8"/>
        <v>100</v>
      </c>
      <c r="AH25" s="112">
        <f t="shared" si="8"/>
        <v>100</v>
      </c>
      <c r="AI25" s="112">
        <f t="shared" si="8"/>
        <v>100</v>
      </c>
      <c r="AJ25" s="112">
        <f>SUM(AJ20:AJ24)</f>
        <v>99.99999999999999</v>
      </c>
      <c r="AK25" s="112">
        <f t="shared" si="8"/>
        <v>100</v>
      </c>
      <c r="AL25" s="112">
        <f t="shared" si="8"/>
        <v>100</v>
      </c>
      <c r="AM25" s="112">
        <f>SUM(AM20:AM24)</f>
        <v>99.99999999999999</v>
      </c>
      <c r="AN25" s="112">
        <f t="shared" si="8"/>
        <v>100</v>
      </c>
      <c r="AO25" s="112">
        <f t="shared" si="8"/>
        <v>100</v>
      </c>
      <c r="AP25" s="112">
        <f t="shared" si="8"/>
        <v>100</v>
      </c>
      <c r="AQ25" s="112">
        <f t="shared" si="8"/>
        <v>100</v>
      </c>
      <c r="AR25" s="112">
        <f t="shared" si="8"/>
        <v>100</v>
      </c>
      <c r="AS25" s="112">
        <f>SUM(AS20:AS24)</f>
        <v>100</v>
      </c>
      <c r="AT25" s="112">
        <f t="shared" si="8"/>
        <v>100</v>
      </c>
      <c r="AU25" s="112">
        <f t="shared" si="8"/>
        <v>100.00000000000001</v>
      </c>
      <c r="AV25" s="112">
        <f t="shared" si="8"/>
        <v>100</v>
      </c>
      <c r="AW25" s="112">
        <f t="shared" si="8"/>
        <v>100</v>
      </c>
      <c r="AX25" s="112">
        <f>SUM(AX20:AX24)</f>
        <v>100</v>
      </c>
      <c r="AY25" s="112">
        <f t="shared" si="8"/>
        <v>100</v>
      </c>
      <c r="AZ25" s="112">
        <f t="shared" si="8"/>
        <v>100.00000000000001</v>
      </c>
      <c r="BA25" s="112">
        <f>SUM(BA20:BA24)</f>
        <v>99.99999999999999</v>
      </c>
      <c r="BB25" s="112">
        <f t="shared" si="8"/>
        <v>100</v>
      </c>
      <c r="BC25" s="112">
        <f t="shared" si="8"/>
        <v>99.99999999999999</v>
      </c>
      <c r="BD25" s="112">
        <f>SUM(BD20:BD24)</f>
        <v>100</v>
      </c>
      <c r="BE25" s="112">
        <f>SUM(BE20:BE24)</f>
        <v>100</v>
      </c>
      <c r="BF25" s="112">
        <f>SUM(BF20:BF24)</f>
        <v>100</v>
      </c>
      <c r="BG25" s="112">
        <f>SUM(BG20:BG24)</f>
        <v>100</v>
      </c>
      <c r="BH25" s="112">
        <f>SUM(BH20:BH24)</f>
        <v>100</v>
      </c>
      <c r="BI25" s="112">
        <f t="shared" si="8"/>
        <v>100</v>
      </c>
      <c r="BJ25" s="112">
        <f t="shared" si="8"/>
        <v>100</v>
      </c>
      <c r="BL25" s="112">
        <f>SUM(BL20:BL24)</f>
        <v>99.99999999999999</v>
      </c>
      <c r="BM25" s="112"/>
      <c r="BN25" s="112">
        <f>SUM(BN20:BN24)</f>
        <v>99.99999999999999</v>
      </c>
      <c r="BO25" s="112">
        <f>SUM(BO20:BO24)</f>
        <v>99.99999999999997</v>
      </c>
      <c r="BP25" s="112"/>
      <c r="BQ25" s="112"/>
    </row>
    <row r="26" spans="1:69" ht="17.25" customHeight="1">
      <c r="A26" s="22" t="s">
        <v>497</v>
      </c>
      <c r="B26" s="34">
        <v>8</v>
      </c>
      <c r="C26" s="118">
        <f>'3.2 Yfirlit'!B19/'3.2 Yfirlit'!B11</f>
        <v>0.2812150978354784</v>
      </c>
      <c r="D26" s="118">
        <f>'3.2 Yfirlit'!C19/'3.2 Yfirlit'!C11</f>
        <v>0.2792908079236671</v>
      </c>
      <c r="E26" s="118">
        <f>'3.2 Yfirlit'!D19/'3.2 Yfirlit'!D11</f>
        <v>0.6196269917283244</v>
      </c>
      <c r="F26" s="118">
        <f>'3.2 Yfirlit'!E19/'3.2 Yfirlit'!E11</f>
        <v>0.45288209600039087</v>
      </c>
      <c r="G26" s="118">
        <f>'3.2 Yfirlit'!F19/'3.2 Yfirlit'!F11</f>
        <v>0.4869304171518721</v>
      </c>
      <c r="H26" s="118">
        <f>'3.2 Yfirlit'!G19/'3.2 Yfirlit'!G11</f>
        <v>0.42693974003670193</v>
      </c>
      <c r="I26" s="118">
        <f>'3.2 Yfirlit'!H19/'3.2 Yfirlit'!H11</f>
        <v>0.1722158412883312</v>
      </c>
      <c r="J26" s="118">
        <f>'3.2 Yfirlit'!I19/'3.2 Yfirlit'!I11</f>
        <v>0.29665404493403597</v>
      </c>
      <c r="K26" s="118">
        <f>'3.2 Yfirlit'!J19/'3.2 Yfirlit'!J11</f>
        <v>0.7261352103186924</v>
      </c>
      <c r="L26" s="118">
        <f>'3.2 Yfirlit'!K19/'3.2 Yfirlit'!K11</f>
        <v>0.13261004351771624</v>
      </c>
      <c r="M26" s="118">
        <f>'3.2 Yfirlit'!L19/'3.2 Yfirlit'!L11</f>
        <v>0.33515554431947525</v>
      </c>
      <c r="N26" s="118">
        <f>'3.2 Yfirlit'!M19/'3.2 Yfirlit'!M11</f>
        <v>0.3974796715988801</v>
      </c>
      <c r="O26" s="118">
        <f>'3.2 Yfirlit'!N19/'3.2 Yfirlit'!N11</f>
        <v>1.3347934726340336</v>
      </c>
      <c r="P26" s="118">
        <f>'3.2 Yfirlit'!O19/'3.2 Yfirlit'!O11</f>
        <v>0.18311830598864526</v>
      </c>
      <c r="Q26" s="118">
        <f>'3.2 Yfirlit'!P19/'3.2 Yfirlit'!P11</f>
        <v>0.12210037489260096</v>
      </c>
      <c r="R26" s="118">
        <f>'3.2 Yfirlit'!Q19/'3.2 Yfirlit'!Q11</f>
        <v>0.5262462227582193</v>
      </c>
      <c r="S26" s="118">
        <f>'3.2 Yfirlit'!R19/'3.2 Yfirlit'!R11</f>
        <v>0.47390630832620523</v>
      </c>
      <c r="T26" s="118">
        <f>'3.2 Yfirlit'!S19/'3.2 Yfirlit'!S11</f>
        <v>0.054251225722679854</v>
      </c>
      <c r="U26" s="118">
        <f>'3.2 Yfirlit'!T19/'3.2 Yfirlit'!T11</f>
        <v>0.5332964764856908</v>
      </c>
      <c r="V26" s="118">
        <f>'3.2 Yfirlit'!U19/'3.2 Yfirlit'!U11</f>
        <v>0.029824907273301834</v>
      </c>
      <c r="W26" s="118">
        <f>'3.2 Yfirlit'!V19/'3.2 Yfirlit'!V11</f>
        <v>0.28490427036467403</v>
      </c>
      <c r="X26" s="118">
        <f>'3.2 Yfirlit'!W19/'3.2 Yfirlit'!W11</f>
        <v>0.5640313710786891</v>
      </c>
      <c r="Y26" s="118">
        <f>'3.2 Yfirlit'!X19/'3.2 Yfirlit'!X11</f>
        <v>-0.528397112710576</v>
      </c>
      <c r="Z26" s="118">
        <f>'3.2 Yfirlit'!Y19/'3.2 Yfirlit'!Y11</f>
        <v>0.028184293282117304</v>
      </c>
      <c r="AA26" s="118">
        <f>'3.2 Yfirlit'!Z19/'3.2 Yfirlit'!Z11</f>
        <v>0.05414288404983616</v>
      </c>
      <c r="AB26" s="118">
        <f>'3.2 Yfirlit'!AA19/'3.2 Yfirlit'!AA11</f>
        <v>0.3514350962013413</v>
      </c>
      <c r="AC26" s="118">
        <f>'3.2 Yfirlit'!AB19/'3.2 Yfirlit'!AB11</f>
        <v>0.06408426297046253</v>
      </c>
      <c r="AD26" s="118">
        <f>'3.2 Yfirlit'!AC19/'3.2 Yfirlit'!AC11</f>
        <v>0.6448080865729436</v>
      </c>
      <c r="AE26" s="118">
        <f>'3.2 Yfirlit'!AD19/'3.2 Yfirlit'!AD11</f>
        <v>0.9307945971913952</v>
      </c>
      <c r="AF26" s="118">
        <f>'3.2 Yfirlit'!AE19/'3.2 Yfirlit'!AE11</f>
        <v>0.4036821741835245</v>
      </c>
      <c r="AG26" s="118">
        <f>'3.2 Yfirlit'!AF19/'3.2 Yfirlit'!AF11</f>
        <v>1.0911494216954163</v>
      </c>
      <c r="AH26" s="118"/>
      <c r="AI26" s="118">
        <f>'3.2 Yfirlit'!AH19/'3.2 Yfirlit'!AH11</f>
        <v>0.7816066950758904</v>
      </c>
      <c r="AJ26" s="118">
        <f>'3.2 Yfirlit'!AI19/'3.2 Yfirlit'!AI11</f>
        <v>0.45586052737708527</v>
      </c>
      <c r="AK26" s="118"/>
      <c r="AL26" s="118">
        <f>'3.2 Yfirlit'!AK19/'3.2 Yfirlit'!AK11</f>
        <v>0.3106681109134088</v>
      </c>
      <c r="AM26" s="118">
        <f>'3.2 Yfirlit'!AL19/'3.2 Yfirlit'!AL11</f>
        <v>0.1852457340376704</v>
      </c>
      <c r="AN26" s="118"/>
      <c r="AO26" s="118">
        <f>'3.2 Yfirlit'!AN19/'3.2 Yfirlit'!AN11</f>
        <v>0.7307522997122129</v>
      </c>
      <c r="AP26" s="118"/>
      <c r="AQ26" s="118">
        <f>'3.2 Yfirlit'!AP19/'3.2 Yfirlit'!AP11</f>
        <v>0.38689505854416617</v>
      </c>
      <c r="AR26" s="118">
        <f>'3.2 Yfirlit'!AQ19/'3.2 Yfirlit'!AQ11</f>
        <v>0.17454645815380845</v>
      </c>
      <c r="AS26" s="118">
        <f>'3.2 Yfirlit'!AR19/'3.2 Yfirlit'!AR11</f>
        <v>0.006965936877727319</v>
      </c>
      <c r="AT26" s="118">
        <f>'3.2 Yfirlit'!AS19/'3.2 Yfirlit'!AS11</f>
        <v>1.0057871510927245</v>
      </c>
      <c r="AU26" s="118">
        <f>'3.2 Yfirlit'!AT19/'3.2 Yfirlit'!AT11</f>
        <v>0.361602496104986</v>
      </c>
      <c r="AV26" s="118">
        <f>'3.2 Yfirlit'!AU19/'3.2 Yfirlit'!AU11</f>
        <v>1.2060320134756555</v>
      </c>
      <c r="AW26" s="118"/>
      <c r="AX26" s="118">
        <f>'3.2 Yfirlit'!AW19/'3.2 Yfirlit'!AW11</f>
        <v>9.878995231892435E-05</v>
      </c>
      <c r="AY26" s="118"/>
      <c r="AZ26" s="118"/>
      <c r="BA26" s="118">
        <f>'3.2 Yfirlit'!AZ19/'3.2 Yfirlit'!AZ11</f>
        <v>0.5503730242788459</v>
      </c>
      <c r="BB26" s="118"/>
      <c r="BC26" s="118">
        <f>'3.2 Yfirlit'!BB19/'3.2 Yfirlit'!BB11</f>
        <v>1.117392087270906</v>
      </c>
      <c r="BD26" s="118"/>
      <c r="BE26" s="118">
        <f>'3.2 Yfirlit'!BD19/'3.2 Yfirlit'!BD11</f>
        <v>1.3078537824137935</v>
      </c>
      <c r="BF26" s="118"/>
      <c r="BG26" s="118"/>
      <c r="BH26" s="118">
        <f>'3.2 Yfirlit'!BG19/'3.2 Yfirlit'!BG11</f>
        <v>1.4947425383109199</v>
      </c>
      <c r="BI26" s="118"/>
      <c r="BJ26" s="118"/>
      <c r="BL26" s="118">
        <f>'3.2 Yfirlit'!BK19/'3.2 Yfirlit'!BK11</f>
        <v>0.332111842140491</v>
      </c>
      <c r="BM26" s="118"/>
      <c r="BN26" s="118">
        <f>'3.2 Yfirlit'!BM19/'3.2 Yfirlit'!BM11</f>
        <v>0.31076187633473296</v>
      </c>
      <c r="BO26" s="118">
        <f>'3.2 Yfirlit'!BN19/'3.2 Yfirlit'!BN11</f>
        <v>0.3511054166709074</v>
      </c>
      <c r="BP26" s="112"/>
      <c r="BQ26" s="112"/>
    </row>
    <row r="27" spans="1:69" ht="8.25" customHeight="1">
      <c r="A27" s="22"/>
      <c r="B27" s="34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  <c r="BB27" s="118"/>
      <c r="BC27" s="118"/>
      <c r="BD27" s="118"/>
      <c r="BE27" s="118"/>
      <c r="BF27" s="118"/>
      <c r="BG27" s="118"/>
      <c r="BH27" s="118"/>
      <c r="BI27" s="118"/>
      <c r="BJ27" s="118"/>
      <c r="BL27" s="118"/>
      <c r="BM27" s="118"/>
      <c r="BN27" s="118"/>
      <c r="BO27" s="118"/>
      <c r="BP27" s="112"/>
      <c r="BQ27" s="112"/>
    </row>
    <row r="28" spans="1:69" ht="24" customHeight="1">
      <c r="A28" s="143" t="s">
        <v>469</v>
      </c>
      <c r="B28" s="152">
        <v>9</v>
      </c>
      <c r="C28" s="144">
        <v>0.039</v>
      </c>
      <c r="D28" s="128" t="s">
        <v>603</v>
      </c>
      <c r="E28" s="144">
        <v>0.133</v>
      </c>
      <c r="F28" s="144">
        <v>0.08</v>
      </c>
      <c r="G28" s="144">
        <v>-0.032</v>
      </c>
      <c r="H28" s="144">
        <v>0.1087</v>
      </c>
      <c r="I28" s="144">
        <v>0.0537</v>
      </c>
      <c r="J28" s="145" t="s">
        <v>576</v>
      </c>
      <c r="K28" s="144">
        <v>0</v>
      </c>
      <c r="L28" s="144">
        <v>0.003</v>
      </c>
      <c r="M28" s="144">
        <v>0</v>
      </c>
      <c r="N28" s="144">
        <v>0.058</v>
      </c>
      <c r="O28" s="144">
        <v>0.003</v>
      </c>
      <c r="P28" s="144">
        <v>0.083</v>
      </c>
      <c r="Q28" s="144">
        <v>0.072</v>
      </c>
      <c r="R28" s="144">
        <v>0.05</v>
      </c>
      <c r="S28" s="144">
        <v>-0.009</v>
      </c>
      <c r="T28" s="144">
        <v>0.031</v>
      </c>
      <c r="U28" s="144">
        <v>0.031</v>
      </c>
      <c r="V28" s="144">
        <v>0.072</v>
      </c>
      <c r="W28" s="144">
        <v>-0.651</v>
      </c>
      <c r="X28" s="144">
        <v>0.018</v>
      </c>
      <c r="Y28" s="144">
        <v>0.087</v>
      </c>
      <c r="Z28" s="144">
        <v>0.003</v>
      </c>
      <c r="AA28" s="144">
        <v>0.069</v>
      </c>
      <c r="AB28" s="144">
        <v>0.085</v>
      </c>
      <c r="AC28" s="144"/>
      <c r="AD28" s="144">
        <v>-0.069</v>
      </c>
      <c r="AE28" s="144">
        <v>-0.754</v>
      </c>
      <c r="AF28" s="144">
        <v>0.053</v>
      </c>
      <c r="AG28" s="144">
        <v>0.028</v>
      </c>
      <c r="AH28" s="113"/>
      <c r="AI28" s="144"/>
      <c r="AJ28" s="144">
        <v>0.1442</v>
      </c>
      <c r="AK28" s="144"/>
      <c r="AL28" s="144">
        <v>0.0964</v>
      </c>
      <c r="AM28" s="144">
        <v>0.02</v>
      </c>
      <c r="AN28" s="144">
        <v>0.1265</v>
      </c>
      <c r="AO28" s="144"/>
      <c r="AP28" s="144"/>
      <c r="AQ28" s="145" t="s">
        <v>535</v>
      </c>
      <c r="AR28" s="144"/>
      <c r="AS28" s="144"/>
      <c r="AT28" s="144">
        <v>-0.704</v>
      </c>
      <c r="AU28" s="144">
        <v>0.062</v>
      </c>
      <c r="AV28" s="144">
        <v>-0.626</v>
      </c>
      <c r="AW28" s="144"/>
      <c r="AX28" s="145" t="s">
        <v>526</v>
      </c>
      <c r="AY28" s="144"/>
      <c r="AZ28" s="144"/>
      <c r="BA28" s="144">
        <v>-0.679</v>
      </c>
      <c r="BB28" s="144"/>
      <c r="BC28" s="144">
        <v>-0.695</v>
      </c>
      <c r="BD28" s="144"/>
      <c r="BE28" s="144">
        <v>-0.734</v>
      </c>
      <c r="BF28" s="144"/>
      <c r="BG28" s="144"/>
      <c r="BH28" s="144">
        <v>-0.87</v>
      </c>
      <c r="BI28" s="144"/>
      <c r="BJ28" s="144"/>
      <c r="BL28" s="144"/>
      <c r="BM28" s="144"/>
      <c r="BN28" s="144"/>
      <c r="BO28" s="144"/>
      <c r="BP28" s="144"/>
      <c r="BQ28" s="113"/>
    </row>
    <row r="29" spans="1:69" ht="23.25" customHeight="1">
      <c r="A29" s="143" t="s">
        <v>470</v>
      </c>
      <c r="B29" s="152">
        <v>10</v>
      </c>
      <c r="C29" s="144">
        <v>0.284</v>
      </c>
      <c r="D29" s="128" t="s">
        <v>553</v>
      </c>
      <c r="E29" s="144">
        <v>0.243</v>
      </c>
      <c r="F29" s="144">
        <v>0.292</v>
      </c>
      <c r="G29" s="144">
        <v>0.112</v>
      </c>
      <c r="H29" s="144">
        <v>0.266</v>
      </c>
      <c r="I29" s="144">
        <v>0.3439</v>
      </c>
      <c r="J29" s="145" t="s">
        <v>575</v>
      </c>
      <c r="K29" s="144">
        <v>0.044</v>
      </c>
      <c r="L29" s="144">
        <v>0.455</v>
      </c>
      <c r="M29" s="144">
        <v>0.223</v>
      </c>
      <c r="N29" s="144">
        <v>0.304</v>
      </c>
      <c r="O29" s="144">
        <v>0.069</v>
      </c>
      <c r="P29" s="144">
        <v>0.478</v>
      </c>
      <c r="Q29" s="144">
        <v>0.112</v>
      </c>
      <c r="R29" s="144">
        <v>0.146</v>
      </c>
      <c r="S29" s="144">
        <v>0.151</v>
      </c>
      <c r="T29" s="144">
        <v>0.379</v>
      </c>
      <c r="U29" s="144">
        <v>0.079</v>
      </c>
      <c r="V29" s="144">
        <v>0.334</v>
      </c>
      <c r="W29" s="144">
        <v>-0.675</v>
      </c>
      <c r="X29" s="144">
        <v>0.144</v>
      </c>
      <c r="Y29" s="144">
        <v>0.1315</v>
      </c>
      <c r="Z29" s="144">
        <v>0.783</v>
      </c>
      <c r="AA29" s="144">
        <v>0.151</v>
      </c>
      <c r="AB29" s="144">
        <v>0.232</v>
      </c>
      <c r="AC29" s="144"/>
      <c r="AD29" s="144">
        <v>-0.103</v>
      </c>
      <c r="AE29" s="144">
        <v>-0.838</v>
      </c>
      <c r="AF29" s="144">
        <v>0.259</v>
      </c>
      <c r="AG29" s="144">
        <v>0.109</v>
      </c>
      <c r="AH29" s="145" t="s">
        <v>524</v>
      </c>
      <c r="AI29" s="144">
        <v>0.074</v>
      </c>
      <c r="AJ29" s="144">
        <v>0.3744</v>
      </c>
      <c r="AK29" s="144">
        <v>0.029</v>
      </c>
      <c r="AL29" s="144">
        <v>0.2313</v>
      </c>
      <c r="AM29" s="144">
        <v>0.36</v>
      </c>
      <c r="AN29" s="144">
        <v>0.2647</v>
      </c>
      <c r="AO29" s="144">
        <v>-0.29</v>
      </c>
      <c r="AP29" s="144">
        <v>0.019</v>
      </c>
      <c r="AQ29" s="145" t="s">
        <v>536</v>
      </c>
      <c r="AR29" s="144"/>
      <c r="AS29" s="144"/>
      <c r="AT29" s="144">
        <v>-0.763</v>
      </c>
      <c r="AU29" s="144">
        <v>0.145</v>
      </c>
      <c r="AV29" s="144">
        <v>-0.636</v>
      </c>
      <c r="AW29" s="144">
        <v>-0.088</v>
      </c>
      <c r="AX29" s="145" t="s">
        <v>525</v>
      </c>
      <c r="AY29" s="144">
        <v>0.018</v>
      </c>
      <c r="AZ29" s="144">
        <v>0.0496</v>
      </c>
      <c r="BA29" s="144">
        <v>-0.698</v>
      </c>
      <c r="BB29" s="144">
        <v>-0.164</v>
      </c>
      <c r="BC29" s="144">
        <v>-0.69</v>
      </c>
      <c r="BD29" s="144"/>
      <c r="BE29" s="144">
        <v>-0.713</v>
      </c>
      <c r="BF29" s="144">
        <v>-0.948</v>
      </c>
      <c r="BG29" s="144"/>
      <c r="BH29" s="144">
        <v>-0.93</v>
      </c>
      <c r="BI29" s="144">
        <v>0.092</v>
      </c>
      <c r="BJ29" s="144">
        <v>1.18</v>
      </c>
      <c r="BL29" s="144"/>
      <c r="BM29" s="144"/>
      <c r="BN29" s="144"/>
      <c r="BO29" s="144"/>
      <c r="BP29" s="144"/>
      <c r="BQ29" s="113"/>
    </row>
    <row r="30" spans="1:69" ht="9" customHeight="1">
      <c r="A30" s="21"/>
      <c r="B30" s="34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47"/>
      <c r="R30" s="113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111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L30" s="47"/>
      <c r="BM30" s="47"/>
      <c r="BN30" s="47"/>
      <c r="BO30" s="47"/>
      <c r="BP30" s="47"/>
      <c r="BQ30" s="47"/>
    </row>
    <row r="31" spans="1:187" ht="12.75">
      <c r="A31" s="23" t="s">
        <v>155</v>
      </c>
      <c r="B31" s="20"/>
      <c r="C31" s="117"/>
      <c r="D31" s="117" t="s">
        <v>534</v>
      </c>
      <c r="E31" s="117"/>
      <c r="F31" s="117"/>
      <c r="G31" s="117"/>
      <c r="H31" s="117"/>
      <c r="I31" s="117" t="s">
        <v>543</v>
      </c>
      <c r="J31" s="117"/>
      <c r="K31" s="117"/>
      <c r="L31" s="117" t="s">
        <v>485</v>
      </c>
      <c r="M31" s="117"/>
      <c r="N31" s="117"/>
      <c r="O31" s="117"/>
      <c r="P31" s="117"/>
      <c r="Q31" s="117" t="s">
        <v>534</v>
      </c>
      <c r="R31" s="117" t="s">
        <v>570</v>
      </c>
      <c r="S31" s="117"/>
      <c r="T31" s="117"/>
      <c r="U31" s="117"/>
      <c r="V31" s="117"/>
      <c r="W31" s="117"/>
      <c r="X31" s="117"/>
      <c r="Y31" s="117"/>
      <c r="Z31" s="117"/>
      <c r="AA31" s="117" t="s">
        <v>493</v>
      </c>
      <c r="AB31" s="117"/>
      <c r="AC31" s="117" t="s">
        <v>496</v>
      </c>
      <c r="AD31" s="117"/>
      <c r="AE31" s="117"/>
      <c r="AF31" s="117" t="s">
        <v>570</v>
      </c>
      <c r="AG31" s="117"/>
      <c r="AH31" s="117" t="s">
        <v>532</v>
      </c>
      <c r="AI31" s="117"/>
      <c r="AJ31" s="117"/>
      <c r="AK31" s="117" t="s">
        <v>532</v>
      </c>
      <c r="AL31" s="117"/>
      <c r="AM31" s="117"/>
      <c r="AN31" s="117" t="s">
        <v>532</v>
      </c>
      <c r="AO31" s="117" t="s">
        <v>530</v>
      </c>
      <c r="AP31" s="117" t="s">
        <v>532</v>
      </c>
      <c r="AQ31" s="117" t="s">
        <v>546</v>
      </c>
      <c r="AR31" s="117" t="s">
        <v>496</v>
      </c>
      <c r="AS31" s="117" t="s">
        <v>520</v>
      </c>
      <c r="AT31" s="117"/>
      <c r="AU31" s="117"/>
      <c r="AV31" s="117"/>
      <c r="AW31" s="117" t="s">
        <v>532</v>
      </c>
      <c r="AX31" s="117" t="s">
        <v>541</v>
      </c>
      <c r="AY31" s="117" t="s">
        <v>532</v>
      </c>
      <c r="AZ31" s="117" t="s">
        <v>532</v>
      </c>
      <c r="BA31" s="117"/>
      <c r="BB31" s="117" t="s">
        <v>532</v>
      </c>
      <c r="BC31" s="117"/>
      <c r="BD31" s="117" t="s">
        <v>532</v>
      </c>
      <c r="BE31" s="117"/>
      <c r="BF31" s="117" t="s">
        <v>532</v>
      </c>
      <c r="BG31" s="117" t="s">
        <v>577</v>
      </c>
      <c r="BI31" s="117" t="s">
        <v>532</v>
      </c>
      <c r="BJ31" s="117" t="s">
        <v>532</v>
      </c>
      <c r="BL31" s="111"/>
      <c r="BM31" s="111"/>
      <c r="BN31" s="111"/>
      <c r="BO31" s="111"/>
      <c r="BP31" s="111"/>
      <c r="BQ31" s="111"/>
      <c r="BR31" s="111"/>
      <c r="BS31" s="111"/>
      <c r="BT31" s="111"/>
      <c r="BU31" s="111"/>
      <c r="BV31" s="111"/>
      <c r="BW31" s="111"/>
      <c r="BX31" s="111"/>
      <c r="BY31" s="111"/>
      <c r="BZ31" s="111"/>
      <c r="CA31" s="111"/>
      <c r="CB31" s="111"/>
      <c r="CC31" s="111"/>
      <c r="CD31" s="111"/>
      <c r="CE31" s="111"/>
      <c r="CF31" s="111"/>
      <c r="CG31" s="111"/>
      <c r="CH31" s="111"/>
      <c r="CI31" s="111"/>
      <c r="CJ31" s="111"/>
      <c r="CK31" s="111"/>
      <c r="CL31" s="111"/>
      <c r="CM31" s="111"/>
      <c r="CN31" s="111"/>
      <c r="CO31" s="111"/>
      <c r="CP31" s="111"/>
      <c r="CQ31" s="111"/>
      <c r="CR31" s="111"/>
      <c r="CS31" s="111"/>
      <c r="CT31" s="111"/>
      <c r="CU31" s="111"/>
      <c r="CV31" s="111"/>
      <c r="CW31" s="111"/>
      <c r="CX31" s="111"/>
      <c r="CY31" s="111"/>
      <c r="CZ31" s="111"/>
      <c r="DA31" s="111"/>
      <c r="DB31" s="111"/>
      <c r="DC31" s="111"/>
      <c r="DD31" s="111"/>
      <c r="DE31" s="111"/>
      <c r="DF31" s="111"/>
      <c r="DG31" s="111"/>
      <c r="DH31" s="111"/>
      <c r="DI31" s="111"/>
      <c r="DJ31" s="111"/>
      <c r="DK31" s="111"/>
      <c r="DL31" s="111"/>
      <c r="DM31" s="111"/>
      <c r="DN31" s="111"/>
      <c r="DO31" s="111"/>
      <c r="DP31" s="111"/>
      <c r="DQ31" s="111"/>
      <c r="DR31" s="111"/>
      <c r="DS31" s="111"/>
      <c r="DT31" s="111"/>
      <c r="DU31" s="111"/>
      <c r="DV31" s="111"/>
      <c r="DW31" s="111"/>
      <c r="DX31" s="111"/>
      <c r="DY31" s="111"/>
      <c r="DZ31" s="111"/>
      <c r="EA31" s="111"/>
      <c r="EB31" s="111"/>
      <c r="EC31" s="111"/>
      <c r="ED31" s="111"/>
      <c r="EE31" s="111"/>
      <c r="EF31" s="111"/>
      <c r="EG31" s="111"/>
      <c r="EH31" s="111"/>
      <c r="EI31" s="111"/>
      <c r="EJ31" s="111"/>
      <c r="EK31" s="111"/>
      <c r="EL31" s="111"/>
      <c r="EM31" s="111"/>
      <c r="EN31" s="111"/>
      <c r="EO31" s="111"/>
      <c r="EP31" s="111"/>
      <c r="EQ31" s="111"/>
      <c r="ER31" s="111"/>
      <c r="ES31" s="111"/>
      <c r="ET31" s="111"/>
      <c r="EU31" s="111"/>
      <c r="EV31" s="111"/>
      <c r="EW31" s="111"/>
      <c r="EX31" s="111"/>
      <c r="EY31" s="111"/>
      <c r="EZ31" s="111"/>
      <c r="FA31" s="111"/>
      <c r="FB31" s="111"/>
      <c r="FC31" s="111"/>
      <c r="FD31" s="111"/>
      <c r="FE31" s="111"/>
      <c r="FF31" s="111"/>
      <c r="FG31" s="111"/>
      <c r="FH31" s="111"/>
      <c r="FI31" s="111"/>
      <c r="FJ31" s="111"/>
      <c r="FK31" s="111"/>
      <c r="FL31" s="111"/>
      <c r="FM31" s="111"/>
      <c r="FN31" s="111"/>
      <c r="FO31" s="111"/>
      <c r="FP31" s="111"/>
      <c r="FQ31" s="111"/>
      <c r="FR31" s="111"/>
      <c r="FS31" s="111"/>
      <c r="FT31" s="111"/>
      <c r="FU31" s="111"/>
      <c r="FV31" s="111"/>
      <c r="FW31" s="111"/>
      <c r="FX31" s="111"/>
      <c r="FY31" s="111"/>
      <c r="FZ31" s="111"/>
      <c r="GA31" s="111"/>
      <c r="GB31" s="111"/>
      <c r="GC31" s="111"/>
      <c r="GD31" s="111"/>
      <c r="GE31" s="111"/>
    </row>
    <row r="32" spans="1:187" ht="12.75">
      <c r="A32" s="20"/>
      <c r="B32" s="20"/>
      <c r="C32" s="147"/>
      <c r="D32" s="117" t="s">
        <v>555</v>
      </c>
      <c r="E32" s="117"/>
      <c r="F32" s="117"/>
      <c r="G32" s="117"/>
      <c r="H32" s="117"/>
      <c r="I32" s="117" t="s">
        <v>499</v>
      </c>
      <c r="J32" s="117"/>
      <c r="K32" s="117"/>
      <c r="L32" s="117" t="s">
        <v>486</v>
      </c>
      <c r="M32" s="117"/>
      <c r="N32" s="117"/>
      <c r="O32" s="117"/>
      <c r="P32" s="117"/>
      <c r="Q32" s="147" t="s">
        <v>559</v>
      </c>
      <c r="R32" s="117" t="s">
        <v>571</v>
      </c>
      <c r="S32" s="117"/>
      <c r="T32" s="117"/>
      <c r="U32" s="117"/>
      <c r="V32" s="117"/>
      <c r="W32" s="117"/>
      <c r="X32" s="117"/>
      <c r="Y32" s="117"/>
      <c r="Z32" s="117"/>
      <c r="AA32" s="117" t="s">
        <v>494</v>
      </c>
      <c r="AB32" s="117"/>
      <c r="AC32" s="117" t="s">
        <v>562</v>
      </c>
      <c r="AD32" s="117"/>
      <c r="AE32" s="117"/>
      <c r="AF32" s="117" t="s">
        <v>571</v>
      </c>
      <c r="AG32" s="117"/>
      <c r="AH32" s="117" t="s">
        <v>564</v>
      </c>
      <c r="AI32" s="117"/>
      <c r="AJ32" s="117"/>
      <c r="AK32" s="117" t="s">
        <v>564</v>
      </c>
      <c r="AL32" s="117"/>
      <c r="AM32" s="117"/>
      <c r="AN32" s="117" t="s">
        <v>564</v>
      </c>
      <c r="AO32" s="117" t="s">
        <v>531</v>
      </c>
      <c r="AP32" s="117" t="s">
        <v>564</v>
      </c>
      <c r="AQ32" s="117" t="s">
        <v>547</v>
      </c>
      <c r="AR32" s="117" t="s">
        <v>563</v>
      </c>
      <c r="AS32" s="117"/>
      <c r="AT32" s="117"/>
      <c r="AU32" s="117"/>
      <c r="AW32" s="117" t="s">
        <v>564</v>
      </c>
      <c r="AX32" s="117" t="s">
        <v>533</v>
      </c>
      <c r="AY32" s="117" t="s">
        <v>564</v>
      </c>
      <c r="AZ32" s="117" t="s">
        <v>564</v>
      </c>
      <c r="BA32" s="117"/>
      <c r="BB32" s="117" t="s">
        <v>564</v>
      </c>
      <c r="BC32" s="117"/>
      <c r="BD32" s="117" t="s">
        <v>564</v>
      </c>
      <c r="BE32" s="117"/>
      <c r="BF32" s="117" t="s">
        <v>564</v>
      </c>
      <c r="BG32" s="117"/>
      <c r="BI32" s="117" t="s">
        <v>564</v>
      </c>
      <c r="BJ32" s="117" t="s">
        <v>564</v>
      </c>
      <c r="BL32" s="111"/>
      <c r="BM32" s="111"/>
      <c r="BN32" s="111"/>
      <c r="BO32" s="111"/>
      <c r="BP32" s="111"/>
      <c r="BQ32" s="111"/>
      <c r="BR32" s="111"/>
      <c r="BS32" s="111"/>
      <c r="BT32" s="111"/>
      <c r="BU32" s="111"/>
      <c r="BV32" s="111"/>
      <c r="BW32" s="111"/>
      <c r="BX32" s="111"/>
      <c r="BY32" s="111"/>
      <c r="BZ32" s="111"/>
      <c r="CA32" s="111"/>
      <c r="CB32" s="111"/>
      <c r="CC32" s="111"/>
      <c r="CD32" s="111"/>
      <c r="CE32" s="111"/>
      <c r="CF32" s="111"/>
      <c r="CG32" s="111"/>
      <c r="CH32" s="111"/>
      <c r="CI32" s="111"/>
      <c r="CJ32" s="111"/>
      <c r="CK32" s="111"/>
      <c r="CL32" s="111"/>
      <c r="CM32" s="111"/>
      <c r="CN32" s="111"/>
      <c r="CO32" s="111"/>
      <c r="CP32" s="111"/>
      <c r="CQ32" s="111"/>
      <c r="CR32" s="111"/>
      <c r="CS32" s="111"/>
      <c r="CT32" s="111"/>
      <c r="CU32" s="111"/>
      <c r="CV32" s="111"/>
      <c r="CW32" s="111"/>
      <c r="CX32" s="111"/>
      <c r="CY32" s="111"/>
      <c r="CZ32" s="111"/>
      <c r="DA32" s="111"/>
      <c r="DB32" s="111"/>
      <c r="DC32" s="111"/>
      <c r="DD32" s="111"/>
      <c r="DE32" s="111"/>
      <c r="DF32" s="111"/>
      <c r="DG32" s="111"/>
      <c r="DH32" s="111"/>
      <c r="DI32" s="111"/>
      <c r="DJ32" s="111"/>
      <c r="DK32" s="111"/>
      <c r="DL32" s="111"/>
      <c r="DM32" s="111"/>
      <c r="DN32" s="111"/>
      <c r="DO32" s="111"/>
      <c r="DP32" s="111"/>
      <c r="DQ32" s="111"/>
      <c r="DR32" s="111"/>
      <c r="DS32" s="111"/>
      <c r="DT32" s="111"/>
      <c r="DU32" s="111"/>
      <c r="DV32" s="111"/>
      <c r="DW32" s="111"/>
      <c r="DX32" s="111"/>
      <c r="DY32" s="111"/>
      <c r="DZ32" s="111"/>
      <c r="EA32" s="111"/>
      <c r="EB32" s="111"/>
      <c r="EC32" s="111"/>
      <c r="ED32" s="111"/>
      <c r="EE32" s="111"/>
      <c r="EF32" s="111"/>
      <c r="EG32" s="111"/>
      <c r="EH32" s="111"/>
      <c r="EI32" s="111"/>
      <c r="EJ32" s="111"/>
      <c r="EK32" s="111"/>
      <c r="EL32" s="111"/>
      <c r="EM32" s="111"/>
      <c r="EN32" s="111"/>
      <c r="EO32" s="111"/>
      <c r="EP32" s="111"/>
      <c r="EQ32" s="111"/>
      <c r="ER32" s="111"/>
      <c r="ES32" s="111"/>
      <c r="ET32" s="111"/>
      <c r="EU32" s="111"/>
      <c r="EV32" s="111"/>
      <c r="EW32" s="111"/>
      <c r="EX32" s="111"/>
      <c r="EY32" s="111"/>
      <c r="EZ32" s="111"/>
      <c r="FA32" s="111"/>
      <c r="FB32" s="111"/>
      <c r="FC32" s="111"/>
      <c r="FD32" s="111"/>
      <c r="FE32" s="111"/>
      <c r="FF32" s="111"/>
      <c r="FG32" s="111"/>
      <c r="FH32" s="111"/>
      <c r="FI32" s="111"/>
      <c r="FJ32" s="111"/>
      <c r="FK32" s="111"/>
      <c r="FL32" s="111"/>
      <c r="FM32" s="111"/>
      <c r="FN32" s="111"/>
      <c r="FO32" s="111"/>
      <c r="FP32" s="111"/>
      <c r="FQ32" s="111"/>
      <c r="FR32" s="111"/>
      <c r="FS32" s="111"/>
      <c r="FT32" s="111"/>
      <c r="FU32" s="111"/>
      <c r="FV32" s="111"/>
      <c r="FW32" s="111"/>
      <c r="FX32" s="111"/>
      <c r="FY32" s="111"/>
      <c r="FZ32" s="111"/>
      <c r="GA32" s="111"/>
      <c r="GB32" s="111"/>
      <c r="GC32" s="111"/>
      <c r="GD32" s="111"/>
      <c r="GE32" s="111"/>
    </row>
    <row r="33" spans="1:187" ht="12.75">
      <c r="A33" s="21"/>
      <c r="B33" s="21"/>
      <c r="C33" s="146"/>
      <c r="D33" s="117" t="s">
        <v>554</v>
      </c>
      <c r="F33" s="117"/>
      <c r="G33" s="117"/>
      <c r="H33" s="117"/>
      <c r="I33" s="117" t="s">
        <v>544</v>
      </c>
      <c r="J33" s="117"/>
      <c r="K33" s="117"/>
      <c r="L33" s="117" t="s">
        <v>574</v>
      </c>
      <c r="M33" s="117"/>
      <c r="N33" s="117"/>
      <c r="O33" s="117"/>
      <c r="P33" s="117"/>
      <c r="Q33" s="146" t="s">
        <v>573</v>
      </c>
      <c r="R33" s="117" t="s">
        <v>567</v>
      </c>
      <c r="S33" s="117"/>
      <c r="T33" s="117"/>
      <c r="U33" s="117"/>
      <c r="V33" s="117"/>
      <c r="W33" s="117"/>
      <c r="X33" s="117"/>
      <c r="Y33" s="117"/>
      <c r="Z33" s="117"/>
      <c r="AA33" s="117" t="s">
        <v>495</v>
      </c>
      <c r="AB33" s="117"/>
      <c r="AC33" s="117" t="s">
        <v>561</v>
      </c>
      <c r="AD33" s="117"/>
      <c r="AE33" s="117"/>
      <c r="AF33" s="117" t="s">
        <v>567</v>
      </c>
      <c r="AG33" s="117"/>
      <c r="AH33" s="117"/>
      <c r="AI33" s="117"/>
      <c r="AJ33" s="117"/>
      <c r="AK33" s="117"/>
      <c r="AL33" s="117"/>
      <c r="AM33" s="117"/>
      <c r="AN33" s="117"/>
      <c r="AO33" s="117" t="s">
        <v>565</v>
      </c>
      <c r="AP33" s="117"/>
      <c r="AQ33" s="117" t="s">
        <v>567</v>
      </c>
      <c r="AR33" s="117" t="s">
        <v>561</v>
      </c>
      <c r="AS33" s="117"/>
      <c r="AT33" s="117"/>
      <c r="AU33" s="117"/>
      <c r="AX33" s="117" t="s">
        <v>542</v>
      </c>
      <c r="AY33" s="117"/>
      <c r="AZ33" s="117"/>
      <c r="BA33" s="117"/>
      <c r="BB33" s="117"/>
      <c r="BC33" s="117"/>
      <c r="BD33" s="117"/>
      <c r="BE33" s="117"/>
      <c r="BF33" s="117" t="s">
        <v>541</v>
      </c>
      <c r="BG33" s="117" t="s">
        <v>532</v>
      </c>
      <c r="BI33" s="117"/>
      <c r="BJ33" s="117"/>
      <c r="BL33" s="111"/>
      <c r="BM33" s="111"/>
      <c r="BN33" s="111"/>
      <c r="BO33" s="111"/>
      <c r="BP33" s="111"/>
      <c r="BQ33" s="111"/>
      <c r="BR33" s="111"/>
      <c r="BS33" s="111"/>
      <c r="BT33" s="111"/>
      <c r="BU33" s="111"/>
      <c r="BV33" s="111"/>
      <c r="BW33" s="111"/>
      <c r="BX33" s="111"/>
      <c r="BY33" s="111"/>
      <c r="BZ33" s="111"/>
      <c r="CA33" s="111"/>
      <c r="CB33" s="111"/>
      <c r="CC33" s="111"/>
      <c r="CD33" s="111"/>
      <c r="CE33" s="111"/>
      <c r="CF33" s="111"/>
      <c r="CG33" s="111"/>
      <c r="CH33" s="111"/>
      <c r="CI33" s="111"/>
      <c r="CJ33" s="111"/>
      <c r="CK33" s="111"/>
      <c r="CL33" s="111"/>
      <c r="CM33" s="111"/>
      <c r="CN33" s="111"/>
      <c r="CO33" s="111"/>
      <c r="CP33" s="111"/>
      <c r="CQ33" s="111"/>
      <c r="CR33" s="111"/>
      <c r="CS33" s="111"/>
      <c r="CT33" s="111"/>
      <c r="CU33" s="111"/>
      <c r="CV33" s="111"/>
      <c r="CW33" s="111"/>
      <c r="CX33" s="111"/>
      <c r="CY33" s="111"/>
      <c r="CZ33" s="111"/>
      <c r="DA33" s="111"/>
      <c r="DB33" s="111"/>
      <c r="DC33" s="111"/>
      <c r="DD33" s="111"/>
      <c r="DE33" s="111"/>
      <c r="DF33" s="111"/>
      <c r="DG33" s="111"/>
      <c r="DH33" s="111"/>
      <c r="DI33" s="111"/>
      <c r="DJ33" s="111"/>
      <c r="DK33" s="111"/>
      <c r="DL33" s="111"/>
      <c r="DM33" s="111"/>
      <c r="DN33" s="111"/>
      <c r="DO33" s="111"/>
      <c r="DP33" s="111"/>
      <c r="DQ33" s="111"/>
      <c r="DR33" s="111"/>
      <c r="DS33" s="111"/>
      <c r="DT33" s="111"/>
      <c r="DU33" s="111"/>
      <c r="DV33" s="111"/>
      <c r="DW33" s="111"/>
      <c r="DX33" s="111"/>
      <c r="DY33" s="111"/>
      <c r="DZ33" s="111"/>
      <c r="EA33" s="111"/>
      <c r="EB33" s="111"/>
      <c r="EC33" s="111"/>
      <c r="ED33" s="111"/>
      <c r="EE33" s="111"/>
      <c r="EF33" s="111"/>
      <c r="EG33" s="111"/>
      <c r="EH33" s="111"/>
      <c r="EI33" s="111"/>
      <c r="EJ33" s="111"/>
      <c r="EK33" s="111"/>
      <c r="EL33" s="111"/>
      <c r="EM33" s="111"/>
      <c r="EN33" s="111"/>
      <c r="EO33" s="111"/>
      <c r="EP33" s="111"/>
      <c r="EQ33" s="111"/>
      <c r="ER33" s="111"/>
      <c r="ES33" s="111"/>
      <c r="ET33" s="111"/>
      <c r="EU33" s="111"/>
      <c r="EV33" s="111"/>
      <c r="EW33" s="111"/>
      <c r="EX33" s="111"/>
      <c r="EY33" s="111"/>
      <c r="EZ33" s="111"/>
      <c r="FA33" s="111"/>
      <c r="FB33" s="111"/>
      <c r="FC33" s="111"/>
      <c r="FD33" s="111"/>
      <c r="FE33" s="111"/>
      <c r="FF33" s="111"/>
      <c r="FG33" s="111"/>
      <c r="FH33" s="111"/>
      <c r="FI33" s="111"/>
      <c r="FJ33" s="111"/>
      <c r="FK33" s="111"/>
      <c r="FL33" s="111"/>
      <c r="FM33" s="111"/>
      <c r="FN33" s="111"/>
      <c r="FO33" s="111"/>
      <c r="FP33" s="111"/>
      <c r="FQ33" s="111"/>
      <c r="FR33" s="111"/>
      <c r="FS33" s="111"/>
      <c r="FT33" s="111"/>
      <c r="FU33" s="111"/>
      <c r="FV33" s="111"/>
      <c r="FW33" s="111"/>
      <c r="FX33" s="111"/>
      <c r="FY33" s="111"/>
      <c r="FZ33" s="111"/>
      <c r="GA33" s="111"/>
      <c r="GB33" s="111"/>
      <c r="GC33" s="111"/>
      <c r="GD33" s="111"/>
      <c r="GE33" s="111"/>
    </row>
    <row r="34" spans="1:187" ht="12.75">
      <c r="A34" s="33"/>
      <c r="B34" s="40"/>
      <c r="C34" s="117"/>
      <c r="D34" s="117" t="s">
        <v>537</v>
      </c>
      <c r="F34" s="117"/>
      <c r="G34" s="117"/>
      <c r="H34" s="117"/>
      <c r="I34" s="117" t="s">
        <v>556</v>
      </c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 t="s">
        <v>534</v>
      </c>
      <c r="AB34" s="117"/>
      <c r="AC34" s="117" t="s">
        <v>523</v>
      </c>
      <c r="AD34" s="117"/>
      <c r="AE34" s="117"/>
      <c r="AF34" s="117"/>
      <c r="AG34" s="117"/>
      <c r="AH34" s="39"/>
      <c r="AI34" s="117"/>
      <c r="AJ34" s="117"/>
      <c r="AK34" s="117"/>
      <c r="AL34" s="117"/>
      <c r="AM34" s="117"/>
      <c r="AN34" s="117"/>
      <c r="AO34" s="117"/>
      <c r="AP34" s="117"/>
      <c r="AQ34" s="117"/>
      <c r="AR34" s="117" t="s">
        <v>523</v>
      </c>
      <c r="AS34" s="117"/>
      <c r="AT34" s="117"/>
      <c r="AU34" s="117"/>
      <c r="AW34" s="117" t="s">
        <v>570</v>
      </c>
      <c r="AX34" s="117" t="s">
        <v>569</v>
      </c>
      <c r="AY34" s="117"/>
      <c r="AZ34" s="117"/>
      <c r="BA34" s="117"/>
      <c r="BB34" s="117"/>
      <c r="BC34" s="117"/>
      <c r="BD34" s="117" t="s">
        <v>570</v>
      </c>
      <c r="BE34" s="117"/>
      <c r="BF34" s="117" t="s">
        <v>533</v>
      </c>
      <c r="BG34" s="117" t="s">
        <v>564</v>
      </c>
      <c r="BI34" s="117"/>
      <c r="BJ34" s="117"/>
      <c r="BL34" s="111"/>
      <c r="BM34" s="111"/>
      <c r="BN34" s="111"/>
      <c r="BO34" s="111"/>
      <c r="BP34" s="111"/>
      <c r="BQ34" s="111"/>
      <c r="BR34" s="111"/>
      <c r="BS34" s="111"/>
      <c r="BT34" s="111"/>
      <c r="BU34" s="111"/>
      <c r="BV34" s="111"/>
      <c r="BW34" s="111"/>
      <c r="BX34" s="111"/>
      <c r="BY34" s="111"/>
      <c r="BZ34" s="111"/>
      <c r="CA34" s="111"/>
      <c r="CB34" s="111"/>
      <c r="CC34" s="111"/>
      <c r="CD34" s="111"/>
      <c r="CE34" s="111"/>
      <c r="CF34" s="111"/>
      <c r="CG34" s="111"/>
      <c r="CH34" s="111"/>
      <c r="CI34" s="111"/>
      <c r="CJ34" s="111"/>
      <c r="CK34" s="111"/>
      <c r="CL34" s="111"/>
      <c r="CM34" s="111"/>
      <c r="CN34" s="111"/>
      <c r="CO34" s="111"/>
      <c r="CP34" s="111"/>
      <c r="CQ34" s="111"/>
      <c r="CR34" s="111"/>
      <c r="CS34" s="111"/>
      <c r="CT34" s="111"/>
      <c r="CU34" s="111"/>
      <c r="CV34" s="111"/>
      <c r="CW34" s="111"/>
      <c r="CX34" s="111"/>
      <c r="CY34" s="111"/>
      <c r="CZ34" s="111"/>
      <c r="DA34" s="111"/>
      <c r="DB34" s="111"/>
      <c r="DC34" s="111"/>
      <c r="DD34" s="111"/>
      <c r="DE34" s="111"/>
      <c r="DF34" s="111"/>
      <c r="DG34" s="111"/>
      <c r="DH34" s="111"/>
      <c r="DI34" s="111"/>
      <c r="DJ34" s="111"/>
      <c r="DK34" s="111"/>
      <c r="DL34" s="111"/>
      <c r="DM34" s="111"/>
      <c r="DN34" s="111"/>
      <c r="DO34" s="111"/>
      <c r="DP34" s="111"/>
      <c r="DQ34" s="111"/>
      <c r="DR34" s="111"/>
      <c r="DS34" s="111"/>
      <c r="DT34" s="111"/>
      <c r="DU34" s="111"/>
      <c r="DV34" s="111"/>
      <c r="DW34" s="111"/>
      <c r="DX34" s="111"/>
      <c r="DY34" s="111"/>
      <c r="DZ34" s="111"/>
      <c r="EA34" s="111"/>
      <c r="EB34" s="111"/>
      <c r="EC34" s="111"/>
      <c r="ED34" s="111"/>
      <c r="EE34" s="111"/>
      <c r="EF34" s="111"/>
      <c r="EG34" s="111"/>
      <c r="EH34" s="111"/>
      <c r="EI34" s="111"/>
      <c r="EJ34" s="111"/>
      <c r="EK34" s="111"/>
      <c r="EL34" s="111"/>
      <c r="EM34" s="111"/>
      <c r="EN34" s="111"/>
      <c r="EO34" s="111"/>
      <c r="EP34" s="111"/>
      <c r="EQ34" s="111"/>
      <c r="ER34" s="111"/>
      <c r="ES34" s="111"/>
      <c r="ET34" s="111"/>
      <c r="EU34" s="111"/>
      <c r="EV34" s="111"/>
      <c r="EW34" s="111"/>
      <c r="EX34" s="111"/>
      <c r="EY34" s="111"/>
      <c r="EZ34" s="111"/>
      <c r="FA34" s="111"/>
      <c r="FB34" s="111"/>
      <c r="FC34" s="111"/>
      <c r="FD34" s="111"/>
      <c r="FE34" s="111"/>
      <c r="FF34" s="111"/>
      <c r="FG34" s="111"/>
      <c r="FH34" s="111"/>
      <c r="FI34" s="111"/>
      <c r="FJ34" s="111"/>
      <c r="FK34" s="111"/>
      <c r="FL34" s="111"/>
      <c r="FM34" s="111"/>
      <c r="FN34" s="111"/>
      <c r="FO34" s="111"/>
      <c r="FP34" s="111"/>
      <c r="FQ34" s="111"/>
      <c r="FR34" s="111"/>
      <c r="FS34" s="111"/>
      <c r="FT34" s="111"/>
      <c r="FU34" s="111"/>
      <c r="FV34" s="111"/>
      <c r="FW34" s="111"/>
      <c r="FX34" s="111"/>
      <c r="FY34" s="111"/>
      <c r="FZ34" s="111"/>
      <c r="GA34" s="111"/>
      <c r="GB34" s="111"/>
      <c r="GC34" s="111"/>
      <c r="GD34" s="111"/>
      <c r="GE34" s="111"/>
    </row>
    <row r="35" spans="1:58" ht="12.75">
      <c r="A35" s="96"/>
      <c r="D35" s="117" t="s">
        <v>545</v>
      </c>
      <c r="E35" s="97"/>
      <c r="F35" s="97"/>
      <c r="G35" s="97"/>
      <c r="H35" s="97"/>
      <c r="I35" s="147" t="s">
        <v>557</v>
      </c>
      <c r="AA35" s="147" t="s">
        <v>560</v>
      </c>
      <c r="AC35" s="117" t="s">
        <v>566</v>
      </c>
      <c r="AN35" s="117"/>
      <c r="AO35" s="117" t="s">
        <v>570</v>
      </c>
      <c r="AQ35" s="117" t="s">
        <v>548</v>
      </c>
      <c r="AR35" s="117" t="s">
        <v>566</v>
      </c>
      <c r="AW35" s="117" t="s">
        <v>571</v>
      </c>
      <c r="BD35" s="117" t="s">
        <v>600</v>
      </c>
      <c r="BF35" s="117" t="s">
        <v>542</v>
      </c>
    </row>
    <row r="36" spans="1:69" ht="12.75">
      <c r="A36" s="97"/>
      <c r="D36" s="117"/>
      <c r="I36" s="146" t="s">
        <v>558</v>
      </c>
      <c r="J36" s="136"/>
      <c r="K36" s="137"/>
      <c r="L36" s="137"/>
      <c r="M36" s="137"/>
      <c r="N36" s="137"/>
      <c r="O36" s="97"/>
      <c r="Q36" s="98"/>
      <c r="R36" s="98"/>
      <c r="S36" s="98"/>
      <c r="T36" s="98"/>
      <c r="U36" s="97"/>
      <c r="W36" s="98"/>
      <c r="X36" s="98"/>
      <c r="Y36" s="98"/>
      <c r="Z36" s="98"/>
      <c r="AA36" s="146" t="s">
        <v>572</v>
      </c>
      <c r="AC36" s="98"/>
      <c r="AD36" s="98"/>
      <c r="AE36" s="98"/>
      <c r="AF36" s="98"/>
      <c r="AG36" s="97"/>
      <c r="AI36" s="98"/>
      <c r="AJ36" s="98"/>
      <c r="AK36" s="98"/>
      <c r="AL36" s="98"/>
      <c r="AN36" s="117"/>
      <c r="AO36" s="117" t="s">
        <v>571</v>
      </c>
      <c r="AP36" s="98"/>
      <c r="AQ36" s="117" t="s">
        <v>549</v>
      </c>
      <c r="AR36" s="98"/>
      <c r="AS36" s="98"/>
      <c r="AT36" s="97"/>
      <c r="AV36" s="98"/>
      <c r="AW36" s="117" t="s">
        <v>567</v>
      </c>
      <c r="AX36" s="98"/>
      <c r="AY36" s="98"/>
      <c r="AZ36" s="97"/>
      <c r="BB36" s="98"/>
      <c r="BC36" s="98"/>
      <c r="BD36" s="117" t="s">
        <v>601</v>
      </c>
      <c r="BE36" s="98"/>
      <c r="BF36" s="117" t="s">
        <v>569</v>
      </c>
      <c r="BG36" s="98"/>
      <c r="BI36" s="98"/>
      <c r="BJ36" s="98"/>
      <c r="BN36" s="98"/>
      <c r="BO36" s="98"/>
      <c r="BP36" s="98"/>
      <c r="BQ36" s="98"/>
    </row>
    <row r="37" spans="1:69" ht="12.75">
      <c r="A37" s="98"/>
      <c r="C37" s="135"/>
      <c r="D37" s="136"/>
      <c r="E37" s="137"/>
      <c r="F37" s="137"/>
      <c r="G37" s="137"/>
      <c r="H37" s="137"/>
      <c r="J37" s="137"/>
      <c r="K37" s="137"/>
      <c r="L37" s="137"/>
      <c r="M37" s="137"/>
      <c r="N37" s="137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O37" s="117" t="s">
        <v>567</v>
      </c>
      <c r="AP37" s="98"/>
      <c r="AQ37" s="117" t="s">
        <v>568</v>
      </c>
      <c r="AR37" s="98"/>
      <c r="AS37" s="98"/>
      <c r="AT37" s="98"/>
      <c r="AU37" s="98"/>
      <c r="AV37" s="98"/>
      <c r="AW37" s="98"/>
      <c r="AX37" s="98"/>
      <c r="AY37" s="98"/>
      <c r="AZ37" s="98"/>
      <c r="BA37" s="98"/>
      <c r="BB37" s="98"/>
      <c r="BC37" s="98"/>
      <c r="BD37" s="117" t="s">
        <v>602</v>
      </c>
      <c r="BE37" s="98"/>
      <c r="BF37" s="98"/>
      <c r="BG37" s="98"/>
      <c r="BH37" s="98"/>
      <c r="BI37" s="98"/>
      <c r="BJ37" s="98"/>
      <c r="BL37" s="98"/>
      <c r="BM37" s="98"/>
      <c r="BN37" s="98"/>
      <c r="BO37" s="98"/>
      <c r="BP37" s="98"/>
      <c r="BQ37" s="98"/>
    </row>
    <row r="38" spans="3:69" ht="12.75">
      <c r="C38" s="135" t="s">
        <v>156</v>
      </c>
      <c r="D38" s="136"/>
      <c r="E38" s="137"/>
      <c r="F38" s="137"/>
      <c r="G38" s="137"/>
      <c r="H38" s="137"/>
      <c r="I38" s="135" t="s">
        <v>156</v>
      </c>
      <c r="J38" s="136"/>
      <c r="K38" s="137"/>
      <c r="L38" s="137"/>
      <c r="M38" s="137"/>
      <c r="N38" s="137"/>
      <c r="O38" s="135" t="s">
        <v>156</v>
      </c>
      <c r="P38" s="136"/>
      <c r="Q38" s="137"/>
      <c r="R38" s="137"/>
      <c r="S38" s="137"/>
      <c r="T38" s="137"/>
      <c r="U38" s="135" t="s">
        <v>156</v>
      </c>
      <c r="V38" s="136"/>
      <c r="W38" s="137"/>
      <c r="X38" s="137"/>
      <c r="Y38" s="137"/>
      <c r="Z38" s="137"/>
      <c r="AA38" s="135" t="s">
        <v>156</v>
      </c>
      <c r="AB38" s="136"/>
      <c r="AC38" s="137"/>
      <c r="AD38" s="137"/>
      <c r="AE38" s="137"/>
      <c r="AF38" s="137"/>
      <c r="AG38" s="135" t="s">
        <v>156</v>
      </c>
      <c r="AH38" s="136"/>
      <c r="AI38" s="137"/>
      <c r="AJ38" s="137"/>
      <c r="AK38" s="137"/>
      <c r="AL38" s="137"/>
      <c r="AM38" s="135" t="s">
        <v>156</v>
      </c>
      <c r="AN38" s="136"/>
      <c r="AO38" s="137"/>
      <c r="AP38" s="137"/>
      <c r="AQ38" s="137"/>
      <c r="AR38" s="137"/>
      <c r="AS38" s="135" t="s">
        <v>156</v>
      </c>
      <c r="AT38" s="136"/>
      <c r="AU38" s="137"/>
      <c r="AV38" s="137"/>
      <c r="AW38" s="137"/>
      <c r="AX38" s="137"/>
      <c r="AY38" s="135" t="s">
        <v>156</v>
      </c>
      <c r="AZ38" s="136"/>
      <c r="BA38" s="137"/>
      <c r="BB38" s="137"/>
      <c r="BC38" s="137"/>
      <c r="BD38" s="137"/>
      <c r="BE38" s="135" t="s">
        <v>156</v>
      </c>
      <c r="BF38" s="136"/>
      <c r="BG38" s="137"/>
      <c r="BH38" s="137"/>
      <c r="BI38" s="137"/>
      <c r="BJ38" s="137"/>
      <c r="BK38" s="135" t="s">
        <v>156</v>
      </c>
      <c r="BL38" s="136"/>
      <c r="BM38" s="137"/>
      <c r="BN38" s="137"/>
      <c r="BO38" s="137"/>
      <c r="BP38" s="137"/>
      <c r="BQ38" s="98"/>
    </row>
    <row r="39" spans="1:69" ht="12.75">
      <c r="A39" s="98"/>
      <c r="C39" s="137" t="s">
        <v>515</v>
      </c>
      <c r="D39" s="137"/>
      <c r="E39" s="137"/>
      <c r="F39" s="137"/>
      <c r="G39" s="137"/>
      <c r="H39" s="137"/>
      <c r="I39" s="137" t="s">
        <v>515</v>
      </c>
      <c r="J39" s="137"/>
      <c r="K39" s="137"/>
      <c r="L39" s="137"/>
      <c r="M39" s="137"/>
      <c r="N39" s="137"/>
      <c r="O39" s="137" t="s">
        <v>515</v>
      </c>
      <c r="P39" s="137"/>
      <c r="Q39" s="137"/>
      <c r="R39" s="137"/>
      <c r="S39" s="137"/>
      <c r="T39" s="137"/>
      <c r="U39" s="137" t="s">
        <v>515</v>
      </c>
      <c r="V39" s="137"/>
      <c r="W39" s="137"/>
      <c r="X39" s="137"/>
      <c r="Y39" s="137"/>
      <c r="Z39" s="137"/>
      <c r="AA39" s="137" t="s">
        <v>515</v>
      </c>
      <c r="AB39" s="137"/>
      <c r="AC39" s="137"/>
      <c r="AD39" s="137"/>
      <c r="AE39" s="137"/>
      <c r="AF39" s="137"/>
      <c r="AG39" s="137" t="s">
        <v>515</v>
      </c>
      <c r="AH39" s="137"/>
      <c r="AI39" s="137"/>
      <c r="AJ39" s="137"/>
      <c r="AK39" s="137"/>
      <c r="AL39" s="137"/>
      <c r="AM39" s="137" t="s">
        <v>515</v>
      </c>
      <c r="AN39" s="137"/>
      <c r="AO39" s="137"/>
      <c r="AP39" s="137"/>
      <c r="AQ39" s="137"/>
      <c r="AR39" s="137"/>
      <c r="AS39" s="137" t="s">
        <v>515</v>
      </c>
      <c r="AT39" s="137"/>
      <c r="AU39" s="137"/>
      <c r="AV39" s="137"/>
      <c r="AW39" s="137"/>
      <c r="AX39" s="137"/>
      <c r="AY39" s="137" t="s">
        <v>515</v>
      </c>
      <c r="AZ39" s="137"/>
      <c r="BA39" s="137"/>
      <c r="BB39" s="137"/>
      <c r="BC39" s="137"/>
      <c r="BD39" s="137"/>
      <c r="BE39" s="137" t="s">
        <v>515</v>
      </c>
      <c r="BF39" s="137"/>
      <c r="BG39" s="137"/>
      <c r="BH39" s="137"/>
      <c r="BI39" s="137"/>
      <c r="BJ39" s="137"/>
      <c r="BK39" s="137" t="s">
        <v>515</v>
      </c>
      <c r="BL39" s="137"/>
      <c r="BM39" s="137"/>
      <c r="BN39" s="137"/>
      <c r="BO39" s="137"/>
      <c r="BP39" s="137"/>
      <c r="BQ39" s="98"/>
    </row>
    <row r="40" spans="1:69" ht="12.75">
      <c r="A40" s="98"/>
      <c r="C40" s="137" t="s">
        <v>521</v>
      </c>
      <c r="D40" s="136"/>
      <c r="E40" s="137"/>
      <c r="F40" s="137"/>
      <c r="G40" s="137"/>
      <c r="H40" s="137"/>
      <c r="I40" s="137" t="s">
        <v>521</v>
      </c>
      <c r="J40" s="136"/>
      <c r="K40" s="137"/>
      <c r="L40" s="137"/>
      <c r="M40" s="137"/>
      <c r="N40" s="137"/>
      <c r="O40" s="137" t="s">
        <v>521</v>
      </c>
      <c r="P40" s="136"/>
      <c r="Q40" s="137"/>
      <c r="R40" s="137"/>
      <c r="S40" s="137"/>
      <c r="T40" s="137"/>
      <c r="U40" s="137" t="s">
        <v>521</v>
      </c>
      <c r="V40" s="136"/>
      <c r="W40" s="137"/>
      <c r="X40" s="137"/>
      <c r="Y40" s="137"/>
      <c r="Z40" s="137"/>
      <c r="AA40" s="137" t="s">
        <v>521</v>
      </c>
      <c r="AB40" s="136"/>
      <c r="AC40" s="137"/>
      <c r="AD40" s="137"/>
      <c r="AE40" s="137"/>
      <c r="AF40" s="137"/>
      <c r="AG40" s="137" t="s">
        <v>521</v>
      </c>
      <c r="AH40" s="136"/>
      <c r="AI40" s="137"/>
      <c r="AJ40" s="137"/>
      <c r="AK40" s="137"/>
      <c r="AL40" s="137"/>
      <c r="AM40" s="137" t="s">
        <v>521</v>
      </c>
      <c r="AN40" s="136"/>
      <c r="AO40" s="137"/>
      <c r="AP40" s="137"/>
      <c r="AQ40" s="137"/>
      <c r="AR40" s="137"/>
      <c r="AS40" s="137" t="s">
        <v>521</v>
      </c>
      <c r="AT40" s="136"/>
      <c r="AU40" s="137"/>
      <c r="AV40" s="137"/>
      <c r="AW40" s="137"/>
      <c r="AX40" s="137"/>
      <c r="AY40" s="137" t="s">
        <v>521</v>
      </c>
      <c r="AZ40" s="136"/>
      <c r="BA40" s="137"/>
      <c r="BB40" s="137"/>
      <c r="BC40" s="137"/>
      <c r="BD40" s="137"/>
      <c r="BE40" s="137" t="s">
        <v>521</v>
      </c>
      <c r="BF40" s="136"/>
      <c r="BG40" s="137"/>
      <c r="BH40" s="137"/>
      <c r="BI40" s="137"/>
      <c r="BJ40" s="137"/>
      <c r="BK40" s="137" t="s">
        <v>521</v>
      </c>
      <c r="BL40" s="136"/>
      <c r="BM40" s="137"/>
      <c r="BN40" s="137"/>
      <c r="BO40" s="137"/>
      <c r="BP40" s="137"/>
      <c r="BQ40" s="98"/>
    </row>
    <row r="41" spans="1:69" ht="12.75">
      <c r="A41" s="98"/>
      <c r="C41" s="137" t="s">
        <v>483</v>
      </c>
      <c r="D41" s="136"/>
      <c r="E41" s="137"/>
      <c r="F41" s="137"/>
      <c r="G41" s="137"/>
      <c r="H41" s="137"/>
      <c r="I41" s="137" t="s">
        <v>483</v>
      </c>
      <c r="J41" s="136"/>
      <c r="K41" s="137"/>
      <c r="L41" s="137"/>
      <c r="M41" s="137"/>
      <c r="N41" s="137"/>
      <c r="O41" s="137" t="s">
        <v>483</v>
      </c>
      <c r="P41" s="136"/>
      <c r="Q41" s="137"/>
      <c r="R41" s="137"/>
      <c r="S41" s="137"/>
      <c r="T41" s="137"/>
      <c r="U41" s="137" t="s">
        <v>483</v>
      </c>
      <c r="V41" s="136"/>
      <c r="W41" s="137"/>
      <c r="X41" s="137"/>
      <c r="Y41" s="137"/>
      <c r="Z41" s="137"/>
      <c r="AA41" s="137" t="s">
        <v>483</v>
      </c>
      <c r="AB41" s="136"/>
      <c r="AC41" s="137"/>
      <c r="AD41" s="137"/>
      <c r="AE41" s="137"/>
      <c r="AF41" s="137"/>
      <c r="AG41" s="137" t="s">
        <v>483</v>
      </c>
      <c r="AH41" s="136"/>
      <c r="AI41" s="137"/>
      <c r="AJ41" s="137"/>
      <c r="AK41" s="137"/>
      <c r="AL41" s="137"/>
      <c r="AM41" s="137" t="s">
        <v>483</v>
      </c>
      <c r="AN41" s="136"/>
      <c r="AO41" s="137"/>
      <c r="AP41" s="137"/>
      <c r="AQ41" s="137"/>
      <c r="AR41" s="137"/>
      <c r="AS41" s="137" t="s">
        <v>483</v>
      </c>
      <c r="AT41" s="136"/>
      <c r="AU41" s="137"/>
      <c r="AV41" s="137"/>
      <c r="AW41" s="137"/>
      <c r="AX41" s="137"/>
      <c r="AY41" s="137" t="s">
        <v>483</v>
      </c>
      <c r="AZ41" s="136"/>
      <c r="BA41" s="137"/>
      <c r="BB41" s="137"/>
      <c r="BC41" s="137"/>
      <c r="BD41" s="137"/>
      <c r="BE41" s="137" t="s">
        <v>483</v>
      </c>
      <c r="BF41" s="136"/>
      <c r="BG41" s="137"/>
      <c r="BH41" s="137"/>
      <c r="BI41" s="137"/>
      <c r="BJ41" s="137"/>
      <c r="BK41" s="137" t="s">
        <v>483</v>
      </c>
      <c r="BL41" s="136"/>
      <c r="BM41" s="137"/>
      <c r="BN41" s="137"/>
      <c r="BO41" s="137"/>
      <c r="BP41" s="137"/>
      <c r="BQ41" s="98"/>
    </row>
    <row r="42" spans="1:69" ht="12.75">
      <c r="A42" s="98"/>
      <c r="C42" s="137" t="s">
        <v>512</v>
      </c>
      <c r="D42" s="136"/>
      <c r="E42" s="137"/>
      <c r="F42" s="137"/>
      <c r="G42" s="137"/>
      <c r="H42" s="137"/>
      <c r="I42" s="137" t="s">
        <v>512</v>
      </c>
      <c r="J42" s="136"/>
      <c r="K42" s="137"/>
      <c r="L42" s="137"/>
      <c r="M42" s="137"/>
      <c r="N42" s="137"/>
      <c r="O42" s="137" t="s">
        <v>512</v>
      </c>
      <c r="P42" s="136"/>
      <c r="Q42" s="137"/>
      <c r="R42" s="137"/>
      <c r="S42" s="137"/>
      <c r="T42" s="137"/>
      <c r="U42" s="137" t="s">
        <v>512</v>
      </c>
      <c r="V42" s="136"/>
      <c r="W42" s="137"/>
      <c r="X42" s="137"/>
      <c r="Y42" s="137"/>
      <c r="Z42" s="137"/>
      <c r="AA42" s="137" t="s">
        <v>512</v>
      </c>
      <c r="AB42" s="136"/>
      <c r="AC42" s="137"/>
      <c r="AD42" s="137"/>
      <c r="AE42" s="137"/>
      <c r="AF42" s="137"/>
      <c r="AG42" s="137" t="s">
        <v>512</v>
      </c>
      <c r="AH42" s="136"/>
      <c r="AI42" s="137"/>
      <c r="AJ42" s="137"/>
      <c r="AK42" s="137"/>
      <c r="AL42" s="137"/>
      <c r="AM42" s="137" t="s">
        <v>512</v>
      </c>
      <c r="AN42" s="136"/>
      <c r="AO42" s="137"/>
      <c r="AP42" s="137"/>
      <c r="AQ42" s="137"/>
      <c r="AR42" s="137"/>
      <c r="AS42" s="137" t="s">
        <v>512</v>
      </c>
      <c r="AT42" s="136"/>
      <c r="AU42" s="137"/>
      <c r="AV42" s="137"/>
      <c r="AW42" s="137"/>
      <c r="AX42" s="137"/>
      <c r="AY42" s="137" t="s">
        <v>512</v>
      </c>
      <c r="AZ42" s="136"/>
      <c r="BA42" s="137"/>
      <c r="BB42" s="137"/>
      <c r="BC42" s="137"/>
      <c r="BD42" s="137"/>
      <c r="BE42" s="137" t="s">
        <v>512</v>
      </c>
      <c r="BF42" s="136"/>
      <c r="BG42" s="137"/>
      <c r="BH42" s="137"/>
      <c r="BI42" s="137"/>
      <c r="BJ42" s="137"/>
      <c r="BK42" s="137" t="s">
        <v>512</v>
      </c>
      <c r="BL42" s="136"/>
      <c r="BM42" s="137"/>
      <c r="BN42" s="137"/>
      <c r="BO42" s="137"/>
      <c r="BP42" s="137"/>
      <c r="BQ42" s="98"/>
    </row>
    <row r="43" spans="1:69" ht="12.75">
      <c r="A43" s="98"/>
      <c r="C43" s="137" t="s">
        <v>513</v>
      </c>
      <c r="D43" s="136"/>
      <c r="E43" s="137"/>
      <c r="F43" s="137"/>
      <c r="G43" s="137"/>
      <c r="H43" s="137"/>
      <c r="I43" s="137" t="s">
        <v>513</v>
      </c>
      <c r="J43" s="136"/>
      <c r="K43" s="137"/>
      <c r="L43" s="137"/>
      <c r="M43" s="137"/>
      <c r="N43" s="137"/>
      <c r="O43" s="137" t="s">
        <v>513</v>
      </c>
      <c r="P43" s="136"/>
      <c r="Q43" s="137"/>
      <c r="R43" s="137"/>
      <c r="S43" s="137"/>
      <c r="T43" s="137"/>
      <c r="U43" s="137" t="s">
        <v>513</v>
      </c>
      <c r="V43" s="136"/>
      <c r="W43" s="137"/>
      <c r="X43" s="137"/>
      <c r="Y43" s="137"/>
      <c r="Z43" s="137"/>
      <c r="AA43" s="137" t="s">
        <v>513</v>
      </c>
      <c r="AB43" s="136"/>
      <c r="AC43" s="137"/>
      <c r="AD43" s="137"/>
      <c r="AE43" s="137"/>
      <c r="AF43" s="137"/>
      <c r="AG43" s="137" t="s">
        <v>513</v>
      </c>
      <c r="AH43" s="136"/>
      <c r="AI43" s="137"/>
      <c r="AJ43" s="137"/>
      <c r="AK43" s="137"/>
      <c r="AL43" s="137"/>
      <c r="AM43" s="137" t="s">
        <v>513</v>
      </c>
      <c r="AN43" s="136"/>
      <c r="AO43" s="137"/>
      <c r="AP43" s="137"/>
      <c r="AQ43" s="137"/>
      <c r="AR43" s="137"/>
      <c r="AS43" s="137" t="s">
        <v>513</v>
      </c>
      <c r="AT43" s="136"/>
      <c r="AU43" s="137"/>
      <c r="AV43" s="137"/>
      <c r="AW43" s="137"/>
      <c r="AX43" s="137"/>
      <c r="AY43" s="137" t="s">
        <v>513</v>
      </c>
      <c r="AZ43" s="136"/>
      <c r="BA43" s="137"/>
      <c r="BB43" s="137"/>
      <c r="BC43" s="137"/>
      <c r="BD43" s="137"/>
      <c r="BE43" s="137" t="s">
        <v>513</v>
      </c>
      <c r="BF43" s="136"/>
      <c r="BG43" s="137"/>
      <c r="BH43" s="137"/>
      <c r="BI43" s="137"/>
      <c r="BJ43" s="137"/>
      <c r="BK43" s="137" t="s">
        <v>513</v>
      </c>
      <c r="BL43" s="136"/>
      <c r="BM43" s="137"/>
      <c r="BN43" s="137"/>
      <c r="BO43" s="137"/>
      <c r="BP43" s="137"/>
      <c r="BQ43" s="98"/>
    </row>
    <row r="44" spans="1:69" ht="12.75">
      <c r="A44" s="114"/>
      <c r="C44" s="137" t="s">
        <v>506</v>
      </c>
      <c r="D44" s="136"/>
      <c r="E44" s="137"/>
      <c r="F44" s="137"/>
      <c r="G44" s="137"/>
      <c r="H44" s="137"/>
      <c r="I44" s="137" t="s">
        <v>506</v>
      </c>
      <c r="J44" s="136"/>
      <c r="K44" s="137"/>
      <c r="L44" s="137"/>
      <c r="M44" s="137"/>
      <c r="N44" s="137"/>
      <c r="O44" s="137" t="s">
        <v>506</v>
      </c>
      <c r="P44" s="136"/>
      <c r="Q44" s="137"/>
      <c r="R44" s="137"/>
      <c r="S44" s="137"/>
      <c r="T44" s="137"/>
      <c r="U44" s="137" t="s">
        <v>506</v>
      </c>
      <c r="V44" s="136"/>
      <c r="W44" s="137"/>
      <c r="X44" s="137"/>
      <c r="Y44" s="137"/>
      <c r="Z44" s="137"/>
      <c r="AA44" s="137" t="s">
        <v>506</v>
      </c>
      <c r="AB44" s="136"/>
      <c r="AC44" s="137"/>
      <c r="AD44" s="137"/>
      <c r="AE44" s="137"/>
      <c r="AF44" s="137"/>
      <c r="AG44" s="137" t="s">
        <v>506</v>
      </c>
      <c r="AH44" s="136"/>
      <c r="AI44" s="137"/>
      <c r="AJ44" s="137"/>
      <c r="AK44" s="137"/>
      <c r="AL44" s="137"/>
      <c r="AM44" s="137" t="s">
        <v>506</v>
      </c>
      <c r="AN44" s="136"/>
      <c r="AO44" s="137"/>
      <c r="AP44" s="137"/>
      <c r="AQ44" s="137"/>
      <c r="AR44" s="137"/>
      <c r="AS44" s="137" t="s">
        <v>506</v>
      </c>
      <c r="AT44" s="136"/>
      <c r="AU44" s="137"/>
      <c r="AV44" s="137"/>
      <c r="AW44" s="137"/>
      <c r="AX44" s="137"/>
      <c r="AY44" s="137" t="s">
        <v>506</v>
      </c>
      <c r="AZ44" s="136"/>
      <c r="BA44" s="137"/>
      <c r="BB44" s="137"/>
      <c r="BC44" s="137"/>
      <c r="BD44" s="137"/>
      <c r="BE44" s="137" t="s">
        <v>506</v>
      </c>
      <c r="BF44" s="136"/>
      <c r="BG44" s="137"/>
      <c r="BH44" s="137"/>
      <c r="BI44" s="137"/>
      <c r="BJ44" s="137"/>
      <c r="BK44" s="137" t="s">
        <v>506</v>
      </c>
      <c r="BL44" s="136"/>
      <c r="BM44" s="137"/>
      <c r="BN44" s="137"/>
      <c r="BO44" s="137"/>
      <c r="BP44" s="137"/>
      <c r="BQ44" s="98"/>
    </row>
    <row r="45" spans="1:69" ht="12.75">
      <c r="A45" s="114"/>
      <c r="C45" s="137" t="s">
        <v>507</v>
      </c>
      <c r="D45" s="136"/>
      <c r="E45" s="137"/>
      <c r="F45" s="137"/>
      <c r="G45" s="137"/>
      <c r="H45" s="137"/>
      <c r="I45" s="137" t="s">
        <v>507</v>
      </c>
      <c r="J45" s="136"/>
      <c r="K45" s="137"/>
      <c r="L45" s="137"/>
      <c r="M45" s="137"/>
      <c r="N45" s="137"/>
      <c r="O45" s="137" t="s">
        <v>507</v>
      </c>
      <c r="P45" s="136"/>
      <c r="Q45" s="137"/>
      <c r="R45" s="137"/>
      <c r="S45" s="137"/>
      <c r="T45" s="137"/>
      <c r="U45" s="137" t="s">
        <v>507</v>
      </c>
      <c r="V45" s="136"/>
      <c r="W45" s="137"/>
      <c r="X45" s="137"/>
      <c r="Y45" s="137"/>
      <c r="Z45" s="137"/>
      <c r="AA45" s="137" t="s">
        <v>507</v>
      </c>
      <c r="AB45" s="136"/>
      <c r="AC45" s="137"/>
      <c r="AD45" s="137"/>
      <c r="AE45" s="137"/>
      <c r="AF45" s="137"/>
      <c r="AG45" s="137" t="s">
        <v>507</v>
      </c>
      <c r="AH45" s="136"/>
      <c r="AI45" s="137"/>
      <c r="AJ45" s="137"/>
      <c r="AK45" s="137"/>
      <c r="AL45" s="137"/>
      <c r="AM45" s="137" t="s">
        <v>507</v>
      </c>
      <c r="AN45" s="136"/>
      <c r="AO45" s="137"/>
      <c r="AP45" s="137"/>
      <c r="AQ45" s="137"/>
      <c r="AR45" s="137"/>
      <c r="AS45" s="137" t="s">
        <v>507</v>
      </c>
      <c r="AT45" s="136"/>
      <c r="AU45" s="137"/>
      <c r="AV45" s="137"/>
      <c r="AW45" s="137"/>
      <c r="AX45" s="137"/>
      <c r="AY45" s="137" t="s">
        <v>507</v>
      </c>
      <c r="AZ45" s="136"/>
      <c r="BA45" s="137"/>
      <c r="BB45" s="137"/>
      <c r="BC45" s="137"/>
      <c r="BD45" s="137"/>
      <c r="BE45" s="137" t="s">
        <v>507</v>
      </c>
      <c r="BF45" s="136"/>
      <c r="BG45" s="137"/>
      <c r="BH45" s="137"/>
      <c r="BI45" s="137"/>
      <c r="BJ45" s="137"/>
      <c r="BK45" s="137" t="s">
        <v>507</v>
      </c>
      <c r="BL45" s="136"/>
      <c r="BM45" s="137"/>
      <c r="BN45" s="137"/>
      <c r="BO45" s="137"/>
      <c r="BP45" s="137"/>
      <c r="BQ45" s="98"/>
    </row>
    <row r="46" spans="1:69" ht="12.75">
      <c r="A46" s="114"/>
      <c r="C46" s="138" t="s">
        <v>514</v>
      </c>
      <c r="D46" s="138"/>
      <c r="E46" s="138"/>
      <c r="F46" s="138"/>
      <c r="G46" s="138"/>
      <c r="H46" s="137"/>
      <c r="I46" s="138" t="s">
        <v>514</v>
      </c>
      <c r="J46" s="138"/>
      <c r="K46" s="138"/>
      <c r="L46" s="138"/>
      <c r="M46" s="138"/>
      <c r="N46" s="137"/>
      <c r="O46" s="138" t="s">
        <v>514</v>
      </c>
      <c r="P46" s="138"/>
      <c r="Q46" s="138"/>
      <c r="R46" s="138"/>
      <c r="S46" s="138"/>
      <c r="T46" s="137"/>
      <c r="U46" s="138" t="s">
        <v>514</v>
      </c>
      <c r="V46" s="138"/>
      <c r="W46" s="138"/>
      <c r="X46" s="138"/>
      <c r="Y46" s="138"/>
      <c r="Z46" s="137"/>
      <c r="AA46" s="138" t="s">
        <v>514</v>
      </c>
      <c r="AB46" s="138"/>
      <c r="AC46" s="138"/>
      <c r="AD46" s="138"/>
      <c r="AE46" s="138"/>
      <c r="AF46" s="137"/>
      <c r="AG46" s="138" t="s">
        <v>514</v>
      </c>
      <c r="AH46" s="138"/>
      <c r="AI46" s="138"/>
      <c r="AJ46" s="138"/>
      <c r="AK46" s="138"/>
      <c r="AL46" s="137"/>
      <c r="AM46" s="138" t="s">
        <v>514</v>
      </c>
      <c r="AN46" s="138"/>
      <c r="AO46" s="138"/>
      <c r="AP46" s="138"/>
      <c r="AQ46" s="138"/>
      <c r="AR46" s="137"/>
      <c r="AS46" s="138" t="s">
        <v>514</v>
      </c>
      <c r="AT46" s="138"/>
      <c r="AU46" s="138"/>
      <c r="AV46" s="138"/>
      <c r="AW46" s="138"/>
      <c r="AX46" s="137"/>
      <c r="AY46" s="138" t="s">
        <v>514</v>
      </c>
      <c r="AZ46" s="138"/>
      <c r="BA46" s="138"/>
      <c r="BB46" s="138"/>
      <c r="BC46" s="138"/>
      <c r="BD46" s="137"/>
      <c r="BE46" s="138" t="s">
        <v>514</v>
      </c>
      <c r="BF46" s="138"/>
      <c r="BG46" s="138"/>
      <c r="BH46" s="138"/>
      <c r="BI46" s="138"/>
      <c r="BJ46" s="137"/>
      <c r="BK46" s="138" t="s">
        <v>514</v>
      </c>
      <c r="BL46" s="138"/>
      <c r="BM46" s="138"/>
      <c r="BN46" s="138"/>
      <c r="BO46" s="138"/>
      <c r="BP46" s="137"/>
      <c r="BQ46" s="98"/>
    </row>
    <row r="47" spans="1:69" ht="12.75">
      <c r="A47" s="98"/>
      <c r="C47" s="137" t="s">
        <v>522</v>
      </c>
      <c r="D47" s="136"/>
      <c r="E47" s="137"/>
      <c r="F47" s="137"/>
      <c r="G47" s="137"/>
      <c r="H47" s="137"/>
      <c r="I47" s="137" t="s">
        <v>522</v>
      </c>
      <c r="J47" s="136"/>
      <c r="K47" s="137"/>
      <c r="L47" s="137"/>
      <c r="M47" s="137"/>
      <c r="N47" s="137"/>
      <c r="O47" s="137" t="s">
        <v>522</v>
      </c>
      <c r="P47" s="136"/>
      <c r="Q47" s="137"/>
      <c r="R47" s="137"/>
      <c r="S47" s="137"/>
      <c r="T47" s="137"/>
      <c r="U47" s="137" t="s">
        <v>522</v>
      </c>
      <c r="V47" s="136"/>
      <c r="W47" s="137"/>
      <c r="X47" s="137"/>
      <c r="Y47" s="137"/>
      <c r="Z47" s="137"/>
      <c r="AA47" s="137" t="s">
        <v>522</v>
      </c>
      <c r="AB47" s="136"/>
      <c r="AC47" s="137"/>
      <c r="AD47" s="137"/>
      <c r="AE47" s="137"/>
      <c r="AF47" s="137"/>
      <c r="AG47" s="137" t="s">
        <v>522</v>
      </c>
      <c r="AH47" s="136"/>
      <c r="AI47" s="137"/>
      <c r="AJ47" s="137"/>
      <c r="AK47" s="137"/>
      <c r="AL47" s="137"/>
      <c r="AM47" s="137" t="s">
        <v>522</v>
      </c>
      <c r="AN47" s="136"/>
      <c r="AO47" s="137"/>
      <c r="AP47" s="137"/>
      <c r="AQ47" s="137"/>
      <c r="AR47" s="137"/>
      <c r="AS47" s="137" t="s">
        <v>522</v>
      </c>
      <c r="AT47" s="136"/>
      <c r="AU47" s="137"/>
      <c r="AV47" s="137"/>
      <c r="AW47" s="137"/>
      <c r="AX47" s="137"/>
      <c r="AY47" s="137" t="s">
        <v>522</v>
      </c>
      <c r="AZ47" s="136"/>
      <c r="BA47" s="137"/>
      <c r="BB47" s="137"/>
      <c r="BC47" s="137"/>
      <c r="BD47" s="137"/>
      <c r="BE47" s="137" t="s">
        <v>522</v>
      </c>
      <c r="BF47" s="136"/>
      <c r="BG47" s="137"/>
      <c r="BH47" s="137"/>
      <c r="BI47" s="137"/>
      <c r="BJ47" s="137"/>
      <c r="BK47" s="137" t="s">
        <v>522</v>
      </c>
      <c r="BL47" s="136"/>
      <c r="BM47" s="137"/>
      <c r="BN47" s="137"/>
      <c r="BO47" s="137"/>
      <c r="BP47" s="137"/>
      <c r="BQ47" s="98"/>
    </row>
    <row r="48" spans="1:69" ht="12.75">
      <c r="A48" s="98"/>
      <c r="C48" s="138" t="s">
        <v>517</v>
      </c>
      <c r="D48" s="136"/>
      <c r="E48" s="137"/>
      <c r="F48" s="137"/>
      <c r="G48" s="137"/>
      <c r="H48" s="137"/>
      <c r="I48" s="138" t="s">
        <v>517</v>
      </c>
      <c r="J48" s="136"/>
      <c r="K48" s="137"/>
      <c r="L48" s="137"/>
      <c r="M48" s="137"/>
      <c r="N48" s="137"/>
      <c r="O48" s="138" t="s">
        <v>517</v>
      </c>
      <c r="P48" s="136"/>
      <c r="Q48" s="137"/>
      <c r="R48" s="137"/>
      <c r="S48" s="137"/>
      <c r="T48" s="137"/>
      <c r="U48" s="138" t="s">
        <v>517</v>
      </c>
      <c r="V48" s="136"/>
      <c r="W48" s="137"/>
      <c r="X48" s="137"/>
      <c r="Y48" s="137"/>
      <c r="Z48" s="137"/>
      <c r="AA48" s="138" t="s">
        <v>517</v>
      </c>
      <c r="AB48" s="136"/>
      <c r="AC48" s="137"/>
      <c r="AD48" s="137"/>
      <c r="AE48" s="137"/>
      <c r="AF48" s="137"/>
      <c r="AG48" s="138" t="s">
        <v>517</v>
      </c>
      <c r="AH48" s="136"/>
      <c r="AI48" s="137"/>
      <c r="AJ48" s="137"/>
      <c r="AK48" s="137"/>
      <c r="AL48" s="137"/>
      <c r="AM48" s="138" t="s">
        <v>517</v>
      </c>
      <c r="AN48" s="136"/>
      <c r="AO48" s="137"/>
      <c r="AP48" s="137"/>
      <c r="AQ48" s="137"/>
      <c r="AR48" s="137"/>
      <c r="AS48" s="138" t="s">
        <v>517</v>
      </c>
      <c r="AT48" s="136"/>
      <c r="AU48" s="137"/>
      <c r="AV48" s="137"/>
      <c r="AW48" s="137"/>
      <c r="AX48" s="137"/>
      <c r="AY48" s="138" t="s">
        <v>517</v>
      </c>
      <c r="AZ48" s="136"/>
      <c r="BA48" s="137"/>
      <c r="BB48" s="137"/>
      <c r="BC48" s="137"/>
      <c r="BD48" s="137"/>
      <c r="BE48" s="138" t="s">
        <v>517</v>
      </c>
      <c r="BF48" s="136"/>
      <c r="BG48" s="137"/>
      <c r="BH48" s="137"/>
      <c r="BI48" s="137"/>
      <c r="BJ48" s="137"/>
      <c r="BK48" s="138" t="s">
        <v>517</v>
      </c>
      <c r="BL48" s="136"/>
      <c r="BM48" s="137"/>
      <c r="BN48" s="137"/>
      <c r="BO48" s="137"/>
      <c r="BP48" s="137"/>
      <c r="BQ48" s="98"/>
    </row>
    <row r="49" spans="1:69" ht="12.75">
      <c r="A49" s="98"/>
      <c r="C49" s="137" t="s">
        <v>505</v>
      </c>
      <c r="D49" s="136"/>
      <c r="E49" s="137"/>
      <c r="F49" s="137"/>
      <c r="G49" s="137"/>
      <c r="H49" s="137"/>
      <c r="I49" s="137" t="s">
        <v>505</v>
      </c>
      <c r="J49" s="136"/>
      <c r="K49" s="137"/>
      <c r="L49" s="137"/>
      <c r="M49" s="137"/>
      <c r="N49" s="137"/>
      <c r="O49" s="137" t="s">
        <v>505</v>
      </c>
      <c r="P49" s="136"/>
      <c r="Q49" s="137"/>
      <c r="R49" s="137"/>
      <c r="S49" s="137"/>
      <c r="T49" s="137"/>
      <c r="U49" s="137" t="s">
        <v>505</v>
      </c>
      <c r="V49" s="136"/>
      <c r="W49" s="137"/>
      <c r="X49" s="137"/>
      <c r="Y49" s="137"/>
      <c r="Z49" s="137"/>
      <c r="AA49" s="137" t="s">
        <v>505</v>
      </c>
      <c r="AB49" s="136"/>
      <c r="AC49" s="137"/>
      <c r="AD49" s="137"/>
      <c r="AE49" s="137"/>
      <c r="AF49" s="137"/>
      <c r="AG49" s="137" t="s">
        <v>505</v>
      </c>
      <c r="AH49" s="136"/>
      <c r="AI49" s="137"/>
      <c r="AJ49" s="137"/>
      <c r="AK49" s="137"/>
      <c r="AL49" s="137"/>
      <c r="AM49" s="137" t="s">
        <v>505</v>
      </c>
      <c r="AN49" s="136"/>
      <c r="AO49" s="137"/>
      <c r="AP49" s="137"/>
      <c r="AQ49" s="137"/>
      <c r="AR49" s="137"/>
      <c r="AS49" s="137" t="s">
        <v>505</v>
      </c>
      <c r="AT49" s="136"/>
      <c r="AU49" s="137"/>
      <c r="AV49" s="137"/>
      <c r="AW49" s="137"/>
      <c r="AX49" s="137"/>
      <c r="AY49" s="137" t="s">
        <v>505</v>
      </c>
      <c r="AZ49" s="136"/>
      <c r="BA49" s="137"/>
      <c r="BB49" s="137"/>
      <c r="BC49" s="137"/>
      <c r="BD49" s="137"/>
      <c r="BE49" s="137" t="s">
        <v>505</v>
      </c>
      <c r="BF49" s="136"/>
      <c r="BG49" s="137"/>
      <c r="BH49" s="137"/>
      <c r="BI49" s="137"/>
      <c r="BJ49" s="137"/>
      <c r="BK49" s="137" t="s">
        <v>505</v>
      </c>
      <c r="BL49" s="136"/>
      <c r="BM49" s="137"/>
      <c r="BN49" s="137"/>
      <c r="BO49" s="137"/>
      <c r="BP49" s="137"/>
      <c r="BQ49" s="98"/>
    </row>
    <row r="50" spans="1:69" ht="12.75">
      <c r="A50" s="98"/>
      <c r="C50" s="137" t="s">
        <v>516</v>
      </c>
      <c r="D50" s="136"/>
      <c r="E50" s="137"/>
      <c r="F50" s="137"/>
      <c r="G50" s="137"/>
      <c r="H50" s="137"/>
      <c r="I50" s="137" t="s">
        <v>516</v>
      </c>
      <c r="J50" s="136"/>
      <c r="K50" s="137"/>
      <c r="L50" s="137"/>
      <c r="M50" s="137"/>
      <c r="N50" s="137"/>
      <c r="O50" s="137" t="s">
        <v>516</v>
      </c>
      <c r="P50" s="136"/>
      <c r="Q50" s="137"/>
      <c r="R50" s="137"/>
      <c r="S50" s="137"/>
      <c r="T50" s="137"/>
      <c r="U50" s="137" t="s">
        <v>516</v>
      </c>
      <c r="V50" s="136"/>
      <c r="W50" s="137"/>
      <c r="X50" s="137"/>
      <c r="Y50" s="137"/>
      <c r="Z50" s="137"/>
      <c r="AA50" s="137" t="s">
        <v>516</v>
      </c>
      <c r="AB50" s="136"/>
      <c r="AC50" s="137"/>
      <c r="AD50" s="137"/>
      <c r="AE50" s="137"/>
      <c r="AF50" s="137"/>
      <c r="AG50" s="137" t="s">
        <v>516</v>
      </c>
      <c r="AH50" s="136"/>
      <c r="AI50" s="137"/>
      <c r="AJ50" s="137"/>
      <c r="AK50" s="137"/>
      <c r="AL50" s="137"/>
      <c r="AM50" s="137" t="s">
        <v>516</v>
      </c>
      <c r="AN50" s="136"/>
      <c r="AO50" s="137"/>
      <c r="AP50" s="137"/>
      <c r="AQ50" s="137"/>
      <c r="AR50" s="137"/>
      <c r="AS50" s="137" t="s">
        <v>516</v>
      </c>
      <c r="AT50" s="136"/>
      <c r="AU50" s="137"/>
      <c r="AV50" s="137"/>
      <c r="AW50" s="137"/>
      <c r="AX50" s="137"/>
      <c r="AY50" s="137" t="s">
        <v>516</v>
      </c>
      <c r="AZ50" s="136"/>
      <c r="BA50" s="137"/>
      <c r="BB50" s="137"/>
      <c r="BC50" s="137"/>
      <c r="BD50" s="137"/>
      <c r="BE50" s="137" t="s">
        <v>516</v>
      </c>
      <c r="BF50" s="136"/>
      <c r="BG50" s="137"/>
      <c r="BH50" s="137"/>
      <c r="BI50" s="137"/>
      <c r="BJ50" s="137"/>
      <c r="BK50" s="137" t="s">
        <v>516</v>
      </c>
      <c r="BL50" s="136"/>
      <c r="BM50" s="137"/>
      <c r="BN50" s="137"/>
      <c r="BO50" s="137"/>
      <c r="BP50" s="137"/>
      <c r="BQ50" s="98"/>
    </row>
    <row r="51" spans="1:68" ht="12.75">
      <c r="A51" s="96"/>
      <c r="B51" s="96"/>
      <c r="C51" s="137" t="s">
        <v>518</v>
      </c>
      <c r="D51" s="136"/>
      <c r="E51" s="137"/>
      <c r="F51" s="137"/>
      <c r="G51" s="137"/>
      <c r="H51" s="137"/>
      <c r="I51" s="137" t="s">
        <v>518</v>
      </c>
      <c r="J51" s="136"/>
      <c r="K51" s="137"/>
      <c r="L51" s="137"/>
      <c r="M51" s="137"/>
      <c r="N51" s="137"/>
      <c r="O51" s="137" t="s">
        <v>518</v>
      </c>
      <c r="P51" s="136"/>
      <c r="Q51" s="137"/>
      <c r="R51" s="137"/>
      <c r="S51" s="137"/>
      <c r="T51" s="137"/>
      <c r="U51" s="137" t="s">
        <v>518</v>
      </c>
      <c r="V51" s="136"/>
      <c r="W51" s="137"/>
      <c r="X51" s="137"/>
      <c r="Y51" s="137"/>
      <c r="Z51" s="137"/>
      <c r="AA51" s="137" t="s">
        <v>518</v>
      </c>
      <c r="AB51" s="136"/>
      <c r="AC51" s="137"/>
      <c r="AD51" s="137"/>
      <c r="AE51" s="137"/>
      <c r="AF51" s="137"/>
      <c r="AG51" s="137" t="s">
        <v>518</v>
      </c>
      <c r="AH51" s="136"/>
      <c r="AI51" s="137"/>
      <c r="AJ51" s="137"/>
      <c r="AK51" s="137"/>
      <c r="AL51" s="137"/>
      <c r="AM51" s="137" t="s">
        <v>518</v>
      </c>
      <c r="AN51" s="136"/>
      <c r="AO51" s="137"/>
      <c r="AP51" s="137"/>
      <c r="AQ51" s="137"/>
      <c r="AR51" s="137"/>
      <c r="AS51" s="137" t="s">
        <v>518</v>
      </c>
      <c r="AT51" s="136"/>
      <c r="AU51" s="137"/>
      <c r="AV51" s="137"/>
      <c r="AW51" s="137"/>
      <c r="AX51" s="137"/>
      <c r="AY51" s="137" t="s">
        <v>518</v>
      </c>
      <c r="AZ51" s="136"/>
      <c r="BA51" s="137"/>
      <c r="BB51" s="137"/>
      <c r="BC51" s="137"/>
      <c r="BD51" s="137"/>
      <c r="BE51" s="137" t="s">
        <v>518</v>
      </c>
      <c r="BF51" s="136"/>
      <c r="BG51" s="137"/>
      <c r="BH51" s="137"/>
      <c r="BI51" s="137"/>
      <c r="BJ51" s="137"/>
      <c r="BK51" s="137" t="s">
        <v>518</v>
      </c>
      <c r="BL51" s="136"/>
      <c r="BM51" s="137"/>
      <c r="BN51" s="137"/>
      <c r="BO51" s="137"/>
      <c r="BP51" s="137"/>
    </row>
    <row r="52" spans="1:68" ht="12.75">
      <c r="A52" s="96"/>
      <c r="B52" s="96"/>
      <c r="C52" s="137" t="s">
        <v>610</v>
      </c>
      <c r="D52" s="136"/>
      <c r="E52" s="137"/>
      <c r="F52" s="137"/>
      <c r="G52" s="137"/>
      <c r="H52" s="137"/>
      <c r="I52" s="137" t="s">
        <v>610</v>
      </c>
      <c r="J52" s="136"/>
      <c r="K52" s="137"/>
      <c r="L52" s="137"/>
      <c r="M52" s="137"/>
      <c r="N52" s="137"/>
      <c r="O52" s="137" t="s">
        <v>610</v>
      </c>
      <c r="P52" s="136"/>
      <c r="Q52" s="137"/>
      <c r="R52" s="137"/>
      <c r="S52" s="137"/>
      <c r="T52" s="137"/>
      <c r="U52" s="137" t="s">
        <v>610</v>
      </c>
      <c r="V52" s="136"/>
      <c r="W52" s="137"/>
      <c r="X52" s="137"/>
      <c r="Y52" s="137"/>
      <c r="Z52" s="137"/>
      <c r="AA52" s="137" t="s">
        <v>610</v>
      </c>
      <c r="AB52" s="136"/>
      <c r="AC52" s="137"/>
      <c r="AD52" s="137"/>
      <c r="AE52" s="137"/>
      <c r="AF52" s="137"/>
      <c r="AG52" s="137" t="s">
        <v>610</v>
      </c>
      <c r="AH52" s="136"/>
      <c r="AI52" s="137"/>
      <c r="AJ52" s="137"/>
      <c r="AK52" s="137"/>
      <c r="AL52" s="137"/>
      <c r="AM52" s="137" t="s">
        <v>610</v>
      </c>
      <c r="AN52" s="136"/>
      <c r="AO52" s="137"/>
      <c r="AP52" s="137"/>
      <c r="AQ52" s="137"/>
      <c r="AR52" s="137"/>
      <c r="AS52" s="137" t="s">
        <v>610</v>
      </c>
      <c r="AT52" s="136"/>
      <c r="AU52" s="137"/>
      <c r="AV52" s="137"/>
      <c r="AW52" s="137"/>
      <c r="AX52" s="137"/>
      <c r="AY52" s="137" t="s">
        <v>610</v>
      </c>
      <c r="AZ52" s="136"/>
      <c r="BA52" s="137"/>
      <c r="BB52" s="137"/>
      <c r="BC52" s="137"/>
      <c r="BD52" s="137"/>
      <c r="BE52" s="137" t="s">
        <v>610</v>
      </c>
      <c r="BF52" s="136"/>
      <c r="BG52" s="137"/>
      <c r="BH52" s="137"/>
      <c r="BI52" s="137"/>
      <c r="BJ52" s="137"/>
      <c r="BK52" s="137" t="s">
        <v>610</v>
      </c>
      <c r="BL52" s="136"/>
      <c r="BM52" s="137"/>
      <c r="BN52" s="137"/>
      <c r="BO52" s="137"/>
      <c r="BP52" s="137"/>
    </row>
    <row r="53" spans="1:9" ht="12.75">
      <c r="A53" s="96"/>
      <c r="B53" s="96"/>
      <c r="D53" s="98"/>
      <c r="E53" s="98"/>
      <c r="F53" s="98"/>
      <c r="G53" s="98"/>
      <c r="H53" s="98"/>
      <c r="I53" s="98"/>
    </row>
    <row r="54" spans="1:9" ht="12.75">
      <c r="A54" s="37"/>
      <c r="B54" s="37"/>
      <c r="C54" s="32"/>
      <c r="D54" s="32"/>
      <c r="E54" s="32"/>
      <c r="F54" s="32"/>
      <c r="G54" s="32"/>
      <c r="H54" s="32"/>
      <c r="I54" s="32"/>
    </row>
    <row r="55" spans="1:9" ht="12.75">
      <c r="A55" s="37"/>
      <c r="B55" s="37"/>
      <c r="C55" s="32"/>
      <c r="D55" s="32"/>
      <c r="E55" s="32"/>
      <c r="F55" s="32"/>
      <c r="G55" s="32"/>
      <c r="H55" s="32"/>
      <c r="I55" s="32"/>
    </row>
    <row r="56" spans="1:69" ht="12.75">
      <c r="A56" s="129" t="s">
        <v>527</v>
      </c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L56" s="14"/>
      <c r="BM56" s="14"/>
      <c r="BN56" s="14"/>
      <c r="BO56" s="14"/>
      <c r="BP56" s="14"/>
      <c r="BQ56" s="14"/>
    </row>
    <row r="57" spans="3:69" ht="12.75"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L57" s="14"/>
      <c r="BM57" s="14"/>
      <c r="BN57" s="14"/>
      <c r="BO57" s="14"/>
      <c r="BP57" s="14"/>
      <c r="BQ57" s="14"/>
    </row>
    <row r="58" spans="1:69" ht="12">
      <c r="A58" s="21"/>
      <c r="B58" s="21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L58" s="17"/>
      <c r="BM58" s="17"/>
      <c r="BN58" s="17"/>
      <c r="BO58" s="17"/>
      <c r="BP58" s="17"/>
      <c r="BQ58" s="17"/>
    </row>
    <row r="59" spans="1:96" ht="12.75">
      <c r="A59" s="31" t="s">
        <v>157</v>
      </c>
      <c r="B59" s="21"/>
      <c r="C59" s="120">
        <f>'3.2 Yfirlit'!B14</f>
        <v>1346563.813</v>
      </c>
      <c r="D59" s="120">
        <f>'3.2 Yfirlit'!C14</f>
        <v>5591834.46</v>
      </c>
      <c r="E59" s="120">
        <f>'3.2 Yfirlit'!D14</f>
        <v>1360549.129</v>
      </c>
      <c r="F59" s="120">
        <f>'3.2 Yfirlit'!E14</f>
        <v>890973.367</v>
      </c>
      <c r="G59" s="120">
        <f>'3.2 Yfirlit'!F14</f>
        <v>829321.602</v>
      </c>
      <c r="H59" s="120">
        <f>'3.2 Yfirlit'!G14</f>
        <v>415977.934</v>
      </c>
      <c r="I59" s="120">
        <f>'3.2 Yfirlit'!H14</f>
        <v>120327.384</v>
      </c>
      <c r="J59" s="120">
        <f>'3.2 Yfirlit'!I14</f>
        <v>391030.294</v>
      </c>
      <c r="K59" s="120">
        <f>'3.2 Yfirlit'!J14</f>
        <v>581917.639</v>
      </c>
      <c r="L59" s="120">
        <f>'3.2 Yfirlit'!K14</f>
        <v>126538.333</v>
      </c>
      <c r="M59" s="120">
        <f>'3.2 Yfirlit'!L14</f>
        <v>241192.423</v>
      </c>
      <c r="N59" s="120">
        <f>'3.2 Yfirlit'!M14</f>
        <v>218372.869</v>
      </c>
      <c r="O59" s="120">
        <f>'3.2 Yfirlit'!N14</f>
        <v>499521.114</v>
      </c>
      <c r="P59" s="120">
        <f>'3.2 Yfirlit'!O14</f>
        <v>91572.419</v>
      </c>
      <c r="Q59" s="120">
        <f>'3.2 Yfirlit'!P14</f>
        <v>90245.01</v>
      </c>
      <c r="R59" s="120">
        <f>'3.2 Yfirlit'!Q14</f>
        <v>289054.214</v>
      </c>
      <c r="S59" s="120">
        <f>'3.2 Yfirlit'!R14</f>
        <v>183810.538</v>
      </c>
      <c r="T59" s="120">
        <f>'3.2 Yfirlit'!S14</f>
        <v>62060.105</v>
      </c>
      <c r="U59" s="120">
        <f>'3.2 Yfirlit'!T14</f>
        <v>204673.444</v>
      </c>
      <c r="V59" s="120">
        <f>'3.2 Yfirlit'!U14</f>
        <v>45874.306</v>
      </c>
      <c r="W59" s="120">
        <f>'3.2 Yfirlit'!V14</f>
        <v>363653.69</v>
      </c>
      <c r="X59" s="120">
        <f>'3.2 Yfirlit'!W14</f>
        <v>162313.046</v>
      </c>
      <c r="Y59" s="120">
        <f>'3.2 Yfirlit'!X14</f>
        <v>157354.173</v>
      </c>
      <c r="Z59" s="120">
        <f>'3.2 Yfirlit'!Y14</f>
        <v>40062</v>
      </c>
      <c r="AA59" s="120">
        <f>'3.2 Yfirlit'!Z14</f>
        <v>21069.141</v>
      </c>
      <c r="AB59" s="120">
        <f>'3.2 Yfirlit'!AA14</f>
        <v>106101.093</v>
      </c>
      <c r="AC59" s="120">
        <f>'3.2 Yfirlit'!AB14</f>
        <v>40304.371</v>
      </c>
      <c r="AD59" s="120">
        <f>'3.2 Yfirlit'!AC14</f>
        <v>121642.04</v>
      </c>
      <c r="AE59" s="120">
        <f>'3.2 Yfirlit'!AD14</f>
        <v>723877.513</v>
      </c>
      <c r="AF59" s="120">
        <f>'3.2 Yfirlit'!AE14</f>
        <v>55238.85</v>
      </c>
      <c r="AG59" s="120">
        <f>'3.2 Yfirlit'!AF14</f>
        <v>106438.079</v>
      </c>
      <c r="AH59" s="120">
        <f>'3.2 Yfirlit'!AG14</f>
        <v>117458.478</v>
      </c>
      <c r="AI59" s="120">
        <f>'3.2 Yfirlit'!AH14</f>
        <v>44888.909</v>
      </c>
      <c r="AJ59" s="120">
        <f>'3.2 Yfirlit'!AI14</f>
        <v>33008.526</v>
      </c>
      <c r="AK59" s="120">
        <f>'3.2 Yfirlit'!AJ14</f>
        <v>67838.022</v>
      </c>
      <c r="AL59" s="120">
        <f>'3.2 Yfirlit'!AK14</f>
        <v>30739.021</v>
      </c>
      <c r="AM59" s="120">
        <f>'3.2 Yfirlit'!AL14</f>
        <v>14464.591</v>
      </c>
      <c r="AN59" s="120">
        <f>'3.2 Yfirlit'!AM14</f>
        <v>24351.485</v>
      </c>
      <c r="AO59" s="120">
        <f>'3.2 Yfirlit'!AN14</f>
        <v>47209.249</v>
      </c>
      <c r="AP59" s="120">
        <f>'3.2 Yfirlit'!AO14</f>
        <v>62953.443</v>
      </c>
      <c r="AQ59" s="120">
        <f>'3.2 Yfirlit'!AP14</f>
        <v>35182.773</v>
      </c>
      <c r="AR59" s="120">
        <f>'3.2 Yfirlit'!AQ14</f>
        <v>9316.361</v>
      </c>
      <c r="AS59" s="120">
        <f>'3.2 Yfirlit'!AR14</f>
        <v>2880.729</v>
      </c>
      <c r="AT59" s="120">
        <f>'3.2 Yfirlit'!AS14</f>
        <v>98706.733</v>
      </c>
      <c r="AU59" s="120">
        <f>'3.2 Yfirlit'!AT14</f>
        <v>26920.365</v>
      </c>
      <c r="AV59" s="120">
        <f>'3.2 Yfirlit'!AU14</f>
        <v>54858.139</v>
      </c>
      <c r="AW59" s="120">
        <f>'3.2 Yfirlit'!AV14</f>
        <v>40233.039</v>
      </c>
      <c r="AX59" s="120">
        <f>'3.2 Yfirlit'!AW14</f>
        <v>49.267</v>
      </c>
      <c r="AY59" s="120">
        <f>'3.2 Yfirlit'!AX14</f>
        <v>28947.549</v>
      </c>
      <c r="AZ59" s="120">
        <f>'3.2 Yfirlit'!AY14</f>
        <v>34331.838</v>
      </c>
      <c r="BA59" s="120">
        <f>'3.2 Yfirlit'!AZ14</f>
        <v>32731.342</v>
      </c>
      <c r="BB59" s="120">
        <f>'3.2 Yfirlit'!BA14</f>
        <v>34935.071</v>
      </c>
      <c r="BC59" s="120">
        <f>'3.2 Yfirlit'!BB14</f>
        <v>21594.239</v>
      </c>
      <c r="BD59" s="120">
        <f>'3.2 Yfirlit'!BC14</f>
        <v>15694.177</v>
      </c>
      <c r="BE59" s="120">
        <f>'3.2 Yfirlit'!BD14</f>
        <v>17129.679</v>
      </c>
      <c r="BF59" s="120">
        <f>'3.2 Yfirlit'!BE14</f>
        <v>100301.464</v>
      </c>
      <c r="BG59" s="120">
        <f>'3.2 Yfirlit'!BF14</f>
        <v>141.804</v>
      </c>
      <c r="BH59" s="120">
        <f>'3.2 Yfirlit'!BG14</f>
        <v>36870.016</v>
      </c>
      <c r="BI59" s="120">
        <f>'3.2 Yfirlit'!BH14</f>
        <v>5029.81</v>
      </c>
      <c r="BJ59" s="120">
        <f>'3.2 Yfirlit'!BI14</f>
        <v>1370.426</v>
      </c>
      <c r="BL59" s="120">
        <f aca="true" t="shared" si="9" ref="BL59:BL66">SUM(C59:BJ59)</f>
        <v>16519600.938000003</v>
      </c>
      <c r="BM59" s="120"/>
      <c r="BN59" s="130">
        <f aca="true" t="shared" si="10" ref="BN59:BN66">D59+W59+AE59+AI59+AO59+AQ59+AT59+AV59+AX59+BA59+BC59+BE59+BF59+BH59</f>
        <v>7168887.473</v>
      </c>
      <c r="BO59" s="120">
        <f>BL59-BN59</f>
        <v>9350713.465000004</v>
      </c>
      <c r="BP59" s="120"/>
      <c r="BQ59" s="120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  <c r="CJ59" s="121"/>
      <c r="CK59" s="121"/>
      <c r="CL59" s="121"/>
      <c r="CM59" s="121"/>
      <c r="CN59" s="121"/>
      <c r="CO59" s="121"/>
      <c r="CP59" s="121"/>
      <c r="CQ59" s="121"/>
      <c r="CR59" s="121"/>
    </row>
    <row r="60" spans="1:96" ht="12.75">
      <c r="A60" s="21"/>
      <c r="B60" s="21"/>
      <c r="C60" s="120"/>
      <c r="D60" s="131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31"/>
      <c r="R60" s="131"/>
      <c r="S60" s="131"/>
      <c r="T60" s="131"/>
      <c r="U60" s="131"/>
      <c r="V60" s="131"/>
      <c r="W60" s="131"/>
      <c r="X60" s="131"/>
      <c r="Y60" s="131"/>
      <c r="Z60" s="131"/>
      <c r="AA60" s="131"/>
      <c r="AB60" s="131"/>
      <c r="AC60" s="131"/>
      <c r="AD60" s="131"/>
      <c r="AE60" s="131"/>
      <c r="AF60" s="131"/>
      <c r="AG60" s="131"/>
      <c r="AH60" s="131"/>
      <c r="AI60" s="131"/>
      <c r="AJ60" s="131"/>
      <c r="AK60" s="131"/>
      <c r="AL60" s="131"/>
      <c r="AM60" s="131"/>
      <c r="AN60" s="131"/>
      <c r="AO60" s="131"/>
      <c r="AP60" s="131"/>
      <c r="AQ60" s="131"/>
      <c r="AR60" s="131"/>
      <c r="AS60" s="131"/>
      <c r="AT60" s="131"/>
      <c r="AU60" s="131"/>
      <c r="AV60" s="131"/>
      <c r="AW60" s="131"/>
      <c r="AX60" s="131"/>
      <c r="AY60" s="131"/>
      <c r="AZ60" s="131"/>
      <c r="BA60" s="131"/>
      <c r="BB60" s="131"/>
      <c r="BC60" s="131"/>
      <c r="BD60" s="131"/>
      <c r="BE60" s="131"/>
      <c r="BF60" s="131"/>
      <c r="BG60" s="131"/>
      <c r="BH60" s="131"/>
      <c r="BI60" s="131"/>
      <c r="BJ60" s="131"/>
      <c r="BL60" s="120">
        <f t="shared" si="9"/>
        <v>0</v>
      </c>
      <c r="BM60" s="120"/>
      <c r="BN60" s="130">
        <f t="shared" si="10"/>
        <v>0</v>
      </c>
      <c r="BO60" s="120">
        <f aca="true" t="shared" si="11" ref="BO60:BO66">BL60-BN60</f>
        <v>0</v>
      </c>
      <c r="BP60" s="120"/>
      <c r="BQ60" s="13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  <c r="CJ60" s="121"/>
      <c r="CK60" s="121"/>
      <c r="CL60" s="121"/>
      <c r="CM60" s="121"/>
      <c r="CN60" s="121"/>
      <c r="CO60" s="121"/>
      <c r="CP60" s="121"/>
      <c r="CQ60" s="121"/>
      <c r="CR60" s="121"/>
    </row>
    <row r="61" spans="1:96" ht="12.75">
      <c r="A61" s="22" t="s">
        <v>158</v>
      </c>
      <c r="B61" s="21"/>
      <c r="C61" s="120">
        <f aca="true" t="shared" si="12" ref="C61:AH61">C59*(C20/100)</f>
        <v>834869.56406</v>
      </c>
      <c r="D61" s="120">
        <f t="shared" si="12"/>
        <v>3942243.2942999997</v>
      </c>
      <c r="E61" s="120">
        <f t="shared" si="12"/>
        <v>829934.96869</v>
      </c>
      <c r="F61" s="120">
        <f t="shared" si="12"/>
        <v>552403.48754</v>
      </c>
      <c r="G61" s="120">
        <f t="shared" si="12"/>
        <v>340021.85682</v>
      </c>
      <c r="H61" s="120">
        <f t="shared" si="12"/>
        <v>220884.28295400002</v>
      </c>
      <c r="I61" s="120">
        <f t="shared" si="12"/>
        <v>66155.9957232</v>
      </c>
      <c r="J61" s="120">
        <f t="shared" si="12"/>
        <v>306176.72020199994</v>
      </c>
      <c r="K61" s="120">
        <f t="shared" si="12"/>
        <v>396285.91215899994</v>
      </c>
      <c r="L61" s="120">
        <f t="shared" si="12"/>
        <v>58207.633180000004</v>
      </c>
      <c r="M61" s="120">
        <f t="shared" si="12"/>
        <v>104677.511582</v>
      </c>
      <c r="N61" s="120">
        <f t="shared" si="12"/>
        <v>88441.011945</v>
      </c>
      <c r="O61" s="120">
        <f t="shared" si="12"/>
        <v>343220.95742939995</v>
      </c>
      <c r="P61" s="120">
        <f t="shared" si="12"/>
        <v>68587.741831</v>
      </c>
      <c r="Q61" s="120">
        <f t="shared" si="12"/>
        <v>73098.4581</v>
      </c>
      <c r="R61" s="120">
        <f t="shared" si="12"/>
        <v>135855.48057999997</v>
      </c>
      <c r="S61" s="120">
        <f t="shared" si="12"/>
        <v>65620.362066</v>
      </c>
      <c r="T61" s="120">
        <f t="shared" si="12"/>
        <v>53061.389775</v>
      </c>
      <c r="U61" s="120">
        <f t="shared" si="12"/>
        <v>106225.517436</v>
      </c>
      <c r="V61" s="120">
        <f t="shared" si="12"/>
        <v>41470.372623999996</v>
      </c>
      <c r="W61" s="120">
        <f t="shared" si="12"/>
        <v>313833.13447</v>
      </c>
      <c r="X61" s="120">
        <f t="shared" si="12"/>
        <v>105471.01729080001</v>
      </c>
      <c r="Y61" s="120">
        <f t="shared" si="12"/>
        <v>115057.37129760002</v>
      </c>
      <c r="Z61" s="120">
        <f t="shared" si="12"/>
        <v>40062</v>
      </c>
      <c r="AA61" s="120">
        <f t="shared" si="12"/>
        <v>13176.6407814</v>
      </c>
      <c r="AB61" s="120">
        <f t="shared" si="12"/>
        <v>55660.63338779999</v>
      </c>
      <c r="AC61" s="120">
        <f t="shared" si="12"/>
        <v>39590.9836333</v>
      </c>
      <c r="AD61" s="120">
        <f t="shared" si="12"/>
        <v>51089.6568</v>
      </c>
      <c r="AE61" s="120">
        <f t="shared" si="12"/>
        <v>476311.40355399996</v>
      </c>
      <c r="AF61" s="120">
        <f t="shared" si="12"/>
        <v>40490.07705</v>
      </c>
      <c r="AG61" s="120">
        <f t="shared" si="12"/>
        <v>64501.475873999996</v>
      </c>
      <c r="AH61" s="120">
        <f t="shared" si="12"/>
        <v>82338.393078</v>
      </c>
      <c r="AI61" s="120">
        <f aca="true" t="shared" si="13" ref="AI61:BJ61">AI59*(AI20/100)</f>
        <v>40579.573736</v>
      </c>
      <c r="AJ61" s="120">
        <f t="shared" si="13"/>
        <v>13127.490790200001</v>
      </c>
      <c r="AK61" s="120">
        <f t="shared" si="13"/>
        <v>53320.685291999995</v>
      </c>
      <c r="AL61" s="120">
        <f t="shared" si="13"/>
        <v>18013.066306</v>
      </c>
      <c r="AM61" s="120">
        <f t="shared" si="13"/>
        <v>8360.533598</v>
      </c>
      <c r="AN61" s="120">
        <f t="shared" si="13"/>
        <v>17540.3746455</v>
      </c>
      <c r="AO61" s="120">
        <f t="shared" si="13"/>
        <v>34887.635011000006</v>
      </c>
      <c r="AP61" s="120">
        <f t="shared" si="13"/>
        <v>43815.596328</v>
      </c>
      <c r="AQ61" s="120">
        <f t="shared" si="13"/>
        <v>27266.649075</v>
      </c>
      <c r="AR61" s="120">
        <f t="shared" si="13"/>
        <v>7797.794157000001</v>
      </c>
      <c r="AS61" s="120">
        <f t="shared" si="13"/>
        <v>2880.729</v>
      </c>
      <c r="AT61" s="120">
        <f t="shared" si="13"/>
        <v>65087.219740199995</v>
      </c>
      <c r="AU61" s="120">
        <f t="shared" si="13"/>
        <v>10821.98673</v>
      </c>
      <c r="AV61" s="120">
        <f t="shared" si="13"/>
        <v>36645.236851999995</v>
      </c>
      <c r="AW61" s="120">
        <f t="shared" si="13"/>
        <v>32105.965121999994</v>
      </c>
      <c r="AX61" s="120">
        <f t="shared" si="13"/>
        <v>49.267</v>
      </c>
      <c r="AY61" s="120">
        <f t="shared" si="13"/>
        <v>20958.025476000003</v>
      </c>
      <c r="AZ61" s="120">
        <f t="shared" si="13"/>
        <v>28632.752892000004</v>
      </c>
      <c r="BA61" s="120">
        <f t="shared" si="13"/>
        <v>23762.954292</v>
      </c>
      <c r="BB61" s="120">
        <f t="shared" si="13"/>
        <v>25153.25112</v>
      </c>
      <c r="BC61" s="120">
        <f t="shared" si="13"/>
        <v>14597.705564</v>
      </c>
      <c r="BD61" s="120">
        <f t="shared" si="13"/>
        <v>7255.4180271</v>
      </c>
      <c r="BE61" s="120">
        <f t="shared" si="13"/>
        <v>10962.994560000001</v>
      </c>
      <c r="BF61" s="120">
        <f t="shared" si="13"/>
        <v>70411.627728</v>
      </c>
      <c r="BG61" s="120">
        <f t="shared" si="13"/>
        <v>141.804</v>
      </c>
      <c r="BH61" s="120">
        <f t="shared" si="13"/>
        <v>22122.0096</v>
      </c>
      <c r="BI61" s="120">
        <f t="shared" si="13"/>
        <v>3369.9727000000003</v>
      </c>
      <c r="BJ61" s="120">
        <f t="shared" si="13"/>
        <v>1370.426</v>
      </c>
      <c r="BL61" s="120">
        <f t="shared" si="9"/>
        <v>10666064.051555503</v>
      </c>
      <c r="BM61" s="120"/>
      <c r="BN61" s="130">
        <f t="shared" si="10"/>
        <v>5078760.705482199</v>
      </c>
      <c r="BO61" s="120">
        <f t="shared" si="11"/>
        <v>5587303.346073304</v>
      </c>
      <c r="BP61" s="120"/>
      <c r="BQ61" s="132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  <c r="CJ61" s="121"/>
      <c r="CK61" s="121"/>
      <c r="CL61" s="121"/>
      <c r="CM61" s="121"/>
      <c r="CN61" s="121"/>
      <c r="CO61" s="121"/>
      <c r="CP61" s="121"/>
      <c r="CQ61" s="121"/>
      <c r="CR61" s="121"/>
    </row>
    <row r="62" spans="1:96" ht="12.75">
      <c r="A62" s="22" t="s">
        <v>159</v>
      </c>
      <c r="B62" s="21"/>
      <c r="C62" s="120">
        <f aca="true" t="shared" si="14" ref="C62:AH62">C59*(C21/100)</f>
        <v>319135.623681</v>
      </c>
      <c r="D62" s="120">
        <f t="shared" si="14"/>
        <v>201306.04056000002</v>
      </c>
      <c r="E62" s="120">
        <f t="shared" si="14"/>
        <v>380953.75612000003</v>
      </c>
      <c r="F62" s="120">
        <f t="shared" si="14"/>
        <v>156811.312592</v>
      </c>
      <c r="G62" s="120">
        <f t="shared" si="14"/>
        <v>348315.07284</v>
      </c>
      <c r="H62" s="120">
        <f t="shared" si="14"/>
        <v>145592.2769</v>
      </c>
      <c r="I62" s="120">
        <f t="shared" si="14"/>
        <v>38059.5515592</v>
      </c>
      <c r="J62" s="120">
        <f t="shared" si="14"/>
        <v>27372.120580000003</v>
      </c>
      <c r="K62" s="120">
        <f t="shared" si="14"/>
        <v>86705.728211</v>
      </c>
      <c r="L62" s="120">
        <f t="shared" si="14"/>
        <v>40998.419892</v>
      </c>
      <c r="M62" s="120">
        <f t="shared" si="14"/>
        <v>101783.20250600002</v>
      </c>
      <c r="N62" s="120">
        <f t="shared" si="14"/>
        <v>92371.723587</v>
      </c>
      <c r="O62" s="120">
        <f t="shared" si="14"/>
        <v>96007.9581108</v>
      </c>
      <c r="P62" s="120">
        <f t="shared" si="14"/>
        <v>6089.5658635</v>
      </c>
      <c r="Q62" s="120">
        <f t="shared" si="14"/>
        <v>2707.3502999999996</v>
      </c>
      <c r="R62" s="120">
        <f t="shared" si="14"/>
        <v>115043.57717199998</v>
      </c>
      <c r="S62" s="120">
        <f t="shared" si="14"/>
        <v>86942.38447399999</v>
      </c>
      <c r="T62" s="120">
        <f t="shared" si="14"/>
        <v>868.84147</v>
      </c>
      <c r="U62" s="120">
        <f t="shared" si="14"/>
        <v>74091.786728</v>
      </c>
      <c r="V62" s="120">
        <f t="shared" si="14"/>
        <v>229.37152999999998</v>
      </c>
      <c r="W62" s="120">
        <f t="shared" si="14"/>
        <v>42183.82804</v>
      </c>
      <c r="X62" s="120">
        <f t="shared" si="14"/>
        <v>37640.39536740001</v>
      </c>
      <c r="Y62" s="120">
        <f t="shared" si="14"/>
        <v>4657.6835208</v>
      </c>
      <c r="Z62" s="120">
        <f t="shared" si="14"/>
        <v>0</v>
      </c>
      <c r="AA62" s="120">
        <f t="shared" si="14"/>
        <v>7728.1609188</v>
      </c>
      <c r="AB62" s="120">
        <f t="shared" si="14"/>
        <v>38928.4910217</v>
      </c>
      <c r="AC62" s="120">
        <f t="shared" si="14"/>
        <v>88.66961620000001</v>
      </c>
      <c r="AD62" s="120">
        <f t="shared" si="14"/>
        <v>48656.816</v>
      </c>
      <c r="AE62" s="120">
        <f t="shared" si="14"/>
        <v>46328.160832</v>
      </c>
      <c r="AF62" s="120">
        <f t="shared" si="14"/>
        <v>4916.2576500000005</v>
      </c>
      <c r="AG62" s="120">
        <f t="shared" si="14"/>
        <v>21287.6158</v>
      </c>
      <c r="AH62" s="120">
        <f t="shared" si="14"/>
        <v>9866.512152000001</v>
      </c>
      <c r="AI62" s="120">
        <f aca="true" t="shared" si="15" ref="AI62:BJ62">AI59*(AI21/100)</f>
        <v>134.666727</v>
      </c>
      <c r="AJ62" s="120">
        <f t="shared" si="15"/>
        <v>13962.606498</v>
      </c>
      <c r="AK62" s="120">
        <f t="shared" si="15"/>
        <v>949.7323079999999</v>
      </c>
      <c r="AL62" s="120">
        <f t="shared" si="15"/>
        <v>8729.881964</v>
      </c>
      <c r="AM62" s="120">
        <f t="shared" si="15"/>
        <v>2775.7550129</v>
      </c>
      <c r="AN62" s="120">
        <f t="shared" si="15"/>
        <v>5763.996499500001</v>
      </c>
      <c r="AO62" s="120">
        <f t="shared" si="15"/>
        <v>2266.043952</v>
      </c>
      <c r="AP62" s="120">
        <f t="shared" si="15"/>
        <v>8183.94759</v>
      </c>
      <c r="AQ62" s="120">
        <f t="shared" si="15"/>
        <v>1161.0315090000001</v>
      </c>
      <c r="AR62" s="120">
        <f t="shared" si="15"/>
        <v>512.399855</v>
      </c>
      <c r="AS62" s="120">
        <f t="shared" si="15"/>
        <v>0</v>
      </c>
      <c r="AT62" s="120">
        <f t="shared" si="15"/>
        <v>6366.5842784999995</v>
      </c>
      <c r="AU62" s="120">
        <f t="shared" si="15"/>
        <v>11871.880965</v>
      </c>
      <c r="AV62" s="120">
        <f t="shared" si="15"/>
        <v>6253.827846</v>
      </c>
      <c r="AW62" s="120">
        <f t="shared" si="15"/>
        <v>5391.227226</v>
      </c>
      <c r="AX62" s="120">
        <f t="shared" si="15"/>
        <v>0</v>
      </c>
      <c r="AY62" s="120">
        <f t="shared" si="15"/>
        <v>0</v>
      </c>
      <c r="AZ62" s="120">
        <f t="shared" si="15"/>
        <v>926.9596260000002</v>
      </c>
      <c r="BA62" s="120">
        <f t="shared" si="15"/>
        <v>1505.641732</v>
      </c>
      <c r="BB62" s="120">
        <f t="shared" si="15"/>
        <v>2096.10426</v>
      </c>
      <c r="BC62" s="120">
        <f t="shared" si="15"/>
        <v>1403.6255350000001</v>
      </c>
      <c r="BD62" s="120">
        <f t="shared" si="15"/>
        <v>3628.4937224</v>
      </c>
      <c r="BE62" s="120">
        <f t="shared" si="15"/>
        <v>342.59358000000003</v>
      </c>
      <c r="BF62" s="120">
        <f t="shared" si="15"/>
        <v>2607.8380640000005</v>
      </c>
      <c r="BG62" s="120">
        <f t="shared" si="15"/>
        <v>0</v>
      </c>
      <c r="BH62" s="120">
        <f t="shared" si="15"/>
        <v>3133.9513600000005</v>
      </c>
      <c r="BI62" s="120">
        <f t="shared" si="15"/>
        <v>0</v>
      </c>
      <c r="BJ62" s="120">
        <f t="shared" si="15"/>
        <v>0</v>
      </c>
      <c r="BL62" s="120">
        <f t="shared" si="9"/>
        <v>2673637.0457056994</v>
      </c>
      <c r="BM62" s="120"/>
      <c r="BN62" s="130">
        <f t="shared" si="10"/>
        <v>314993.8340154999</v>
      </c>
      <c r="BO62" s="120">
        <f t="shared" si="11"/>
        <v>2358643.2116901996</v>
      </c>
      <c r="BP62" s="120"/>
      <c r="BQ62" s="132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  <c r="CJ62" s="121"/>
      <c r="CK62" s="121"/>
      <c r="CL62" s="121"/>
      <c r="CM62" s="121"/>
      <c r="CN62" s="121"/>
      <c r="CO62" s="121"/>
      <c r="CP62" s="121"/>
      <c r="CQ62" s="121"/>
      <c r="CR62" s="121"/>
    </row>
    <row r="63" spans="1:96" ht="12.75">
      <c r="A63" s="22" t="s">
        <v>160</v>
      </c>
      <c r="B63" s="21"/>
      <c r="C63" s="120">
        <f aca="true" t="shared" si="16" ref="C63:AH63">C59*(C22/100)</f>
        <v>152161.710869</v>
      </c>
      <c r="D63" s="120">
        <f t="shared" si="16"/>
        <v>1425917.7873</v>
      </c>
      <c r="E63" s="120">
        <f t="shared" si="16"/>
        <v>122449.42160999999</v>
      </c>
      <c r="F63" s="120">
        <f t="shared" si="16"/>
        <v>155920.33922499997</v>
      </c>
      <c r="G63" s="120">
        <f t="shared" si="16"/>
        <v>99518.59224</v>
      </c>
      <c r="H63" s="120">
        <f t="shared" si="16"/>
        <v>37022.036126000006</v>
      </c>
      <c r="I63" s="120">
        <f t="shared" si="16"/>
        <v>12766.7354424</v>
      </c>
      <c r="J63" s="120">
        <f t="shared" si="16"/>
        <v>56699.392629999995</v>
      </c>
      <c r="K63" s="120">
        <f t="shared" si="16"/>
        <v>94852.575157</v>
      </c>
      <c r="L63" s="120">
        <f t="shared" si="16"/>
        <v>23536.129938000002</v>
      </c>
      <c r="M63" s="120">
        <f t="shared" si="16"/>
        <v>26772.358953000003</v>
      </c>
      <c r="N63" s="120">
        <f t="shared" si="16"/>
        <v>29261.964446</v>
      </c>
      <c r="O63" s="120">
        <f t="shared" si="16"/>
        <v>46105.798822200006</v>
      </c>
      <c r="P63" s="120">
        <f t="shared" si="16"/>
        <v>16281.576098200001</v>
      </c>
      <c r="Q63" s="120">
        <f t="shared" si="16"/>
        <v>13536.751499999998</v>
      </c>
      <c r="R63" s="120">
        <f t="shared" si="16"/>
        <v>27749.204544</v>
      </c>
      <c r="S63" s="120">
        <f t="shared" si="16"/>
        <v>23895.36994</v>
      </c>
      <c r="T63" s="120">
        <f t="shared" si="16"/>
        <v>4406.267455</v>
      </c>
      <c r="U63" s="120">
        <f t="shared" si="16"/>
        <v>17806.589627999998</v>
      </c>
      <c r="V63" s="120">
        <f t="shared" si="16"/>
        <v>1513.852098</v>
      </c>
      <c r="W63" s="120">
        <f t="shared" si="16"/>
        <v>5818.45904</v>
      </c>
      <c r="X63" s="120">
        <f t="shared" si="16"/>
        <v>16166.379381600002</v>
      </c>
      <c r="Y63" s="120">
        <f t="shared" si="16"/>
        <v>36679.2577263</v>
      </c>
      <c r="Z63" s="120">
        <f t="shared" si="16"/>
        <v>0</v>
      </c>
      <c r="AA63" s="120">
        <f t="shared" si="16"/>
        <v>164.33929980000002</v>
      </c>
      <c r="AB63" s="120">
        <f t="shared" si="16"/>
        <v>7501.347275099999</v>
      </c>
      <c r="AC63" s="120">
        <f t="shared" si="16"/>
        <v>96.7304904</v>
      </c>
      <c r="AD63" s="120">
        <f t="shared" si="16"/>
        <v>14597.044799999998</v>
      </c>
      <c r="AE63" s="120">
        <f t="shared" si="16"/>
        <v>199790.19358800002</v>
      </c>
      <c r="AF63" s="120">
        <f t="shared" si="16"/>
        <v>9501.082199999999</v>
      </c>
      <c r="AG63" s="120">
        <f t="shared" si="16"/>
        <v>19584.606536</v>
      </c>
      <c r="AH63" s="120">
        <f t="shared" si="16"/>
        <v>25018.655814</v>
      </c>
      <c r="AI63" s="120">
        <f aca="true" t="shared" si="17" ref="AI63:BJ63">AI59*(AI22/100)</f>
        <v>4129.779628</v>
      </c>
      <c r="AJ63" s="120">
        <f t="shared" si="17"/>
        <v>4865.4567324</v>
      </c>
      <c r="AK63" s="120">
        <f t="shared" si="17"/>
        <v>13567.6044</v>
      </c>
      <c r="AL63" s="120">
        <f t="shared" si="17"/>
        <v>3196.858184</v>
      </c>
      <c r="AM63" s="120">
        <f t="shared" si="17"/>
        <v>3176.4241836</v>
      </c>
      <c r="AN63" s="120">
        <f t="shared" si="17"/>
        <v>901.0049450000001</v>
      </c>
      <c r="AO63" s="120">
        <f t="shared" si="17"/>
        <v>10055.570037000001</v>
      </c>
      <c r="AP63" s="120">
        <f t="shared" si="17"/>
        <v>10953.899082</v>
      </c>
      <c r="AQ63" s="120">
        <f t="shared" si="17"/>
        <v>6332.8991399999995</v>
      </c>
      <c r="AR63" s="120">
        <f t="shared" si="17"/>
        <v>726.6761580000001</v>
      </c>
      <c r="AS63" s="120">
        <f t="shared" si="17"/>
        <v>0</v>
      </c>
      <c r="AT63" s="120">
        <f t="shared" si="17"/>
        <v>26779.136662899997</v>
      </c>
      <c r="AU63" s="120">
        <f t="shared" si="17"/>
        <v>3311.2048950000003</v>
      </c>
      <c r="AV63" s="120">
        <f t="shared" si="17"/>
        <v>11629.925468</v>
      </c>
      <c r="AW63" s="120">
        <f t="shared" si="17"/>
        <v>2615.147535</v>
      </c>
      <c r="AX63" s="120">
        <f t="shared" si="17"/>
        <v>0</v>
      </c>
      <c r="AY63" s="120">
        <f t="shared" si="17"/>
        <v>7700.048034</v>
      </c>
      <c r="AZ63" s="120">
        <f t="shared" si="17"/>
        <v>4772.125482000001</v>
      </c>
      <c r="BA63" s="120">
        <f t="shared" si="17"/>
        <v>7135.432556</v>
      </c>
      <c r="BB63" s="120">
        <f t="shared" si="17"/>
        <v>7685.715620000001</v>
      </c>
      <c r="BC63" s="120">
        <f t="shared" si="17"/>
        <v>5139.428882000001</v>
      </c>
      <c r="BD63" s="120">
        <f t="shared" si="17"/>
        <v>3410.3446621</v>
      </c>
      <c r="BE63" s="120">
        <f t="shared" si="17"/>
        <v>5824.09086</v>
      </c>
      <c r="BF63" s="120">
        <f t="shared" si="17"/>
        <v>27081.395280000004</v>
      </c>
      <c r="BG63" s="120">
        <f t="shared" si="17"/>
        <v>0</v>
      </c>
      <c r="BH63" s="120">
        <f t="shared" si="17"/>
        <v>11319.094912</v>
      </c>
      <c r="BI63" s="120">
        <f t="shared" si="17"/>
        <v>1659.8373000000001</v>
      </c>
      <c r="BJ63" s="120">
        <f t="shared" si="17"/>
        <v>0</v>
      </c>
      <c r="BL63" s="120">
        <f t="shared" si="9"/>
        <v>2907061.650811999</v>
      </c>
      <c r="BM63" s="120"/>
      <c r="BN63" s="130">
        <f t="shared" si="10"/>
        <v>1746953.1933539005</v>
      </c>
      <c r="BO63" s="120">
        <f t="shared" si="11"/>
        <v>1160108.4574580987</v>
      </c>
      <c r="BP63" s="120"/>
      <c r="BQ63" s="132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  <c r="CJ63" s="121"/>
      <c r="CK63" s="121"/>
      <c r="CL63" s="121"/>
      <c r="CM63" s="121"/>
      <c r="CN63" s="121"/>
      <c r="CO63" s="121"/>
      <c r="CP63" s="121"/>
      <c r="CQ63" s="121"/>
      <c r="CR63" s="121"/>
    </row>
    <row r="64" spans="1:96" ht="12.75">
      <c r="A64" s="22" t="s">
        <v>161</v>
      </c>
      <c r="B64" s="21"/>
      <c r="C64" s="120">
        <f aca="true" t="shared" si="18" ref="C64:AH64">C59*(C23/100)</f>
        <v>40396.91439</v>
      </c>
      <c r="D64" s="120">
        <f t="shared" si="18"/>
        <v>22367.33784</v>
      </c>
      <c r="E64" s="120">
        <f t="shared" si="18"/>
        <v>27210.98258</v>
      </c>
      <c r="F64" s="120">
        <f t="shared" si="18"/>
        <v>25838.227643</v>
      </c>
      <c r="G64" s="120">
        <f t="shared" si="18"/>
        <v>41466.0801</v>
      </c>
      <c r="H64" s="120">
        <f t="shared" si="18"/>
        <v>12479.33802</v>
      </c>
      <c r="I64" s="120">
        <f t="shared" si="18"/>
        <v>3345.1012752</v>
      </c>
      <c r="J64" s="120">
        <f t="shared" si="18"/>
        <v>782.060588</v>
      </c>
      <c r="K64" s="120">
        <f t="shared" si="18"/>
        <v>4655.341112</v>
      </c>
      <c r="L64" s="120">
        <f t="shared" si="18"/>
        <v>3796.14999</v>
      </c>
      <c r="M64" s="120">
        <f t="shared" si="18"/>
        <v>7959.349959000001</v>
      </c>
      <c r="N64" s="120">
        <f t="shared" si="18"/>
        <v>8298.169022</v>
      </c>
      <c r="O64" s="120">
        <f t="shared" si="18"/>
        <v>14186.3996376</v>
      </c>
      <c r="P64" s="120">
        <f t="shared" si="18"/>
        <v>613.5352073</v>
      </c>
      <c r="Q64" s="120">
        <f t="shared" si="18"/>
        <v>902.4501</v>
      </c>
      <c r="R64" s="120">
        <f t="shared" si="18"/>
        <v>10405.951704000001</v>
      </c>
      <c r="S64" s="120">
        <f t="shared" si="18"/>
        <v>7352.42152</v>
      </c>
      <c r="T64" s="120">
        <f t="shared" si="18"/>
        <v>186.180315</v>
      </c>
      <c r="U64" s="120">
        <f t="shared" si="18"/>
        <v>6549.550208</v>
      </c>
      <c r="V64" s="120">
        <f t="shared" si="18"/>
        <v>45.874306</v>
      </c>
      <c r="W64" s="120">
        <f t="shared" si="18"/>
        <v>1818.26845</v>
      </c>
      <c r="X64" s="120">
        <f t="shared" si="18"/>
        <v>3035.2539602</v>
      </c>
      <c r="Y64" s="120">
        <f t="shared" si="18"/>
        <v>975.5958726</v>
      </c>
      <c r="Z64" s="120">
        <f t="shared" si="18"/>
        <v>0</v>
      </c>
      <c r="AA64" s="120">
        <f t="shared" si="18"/>
        <v>0</v>
      </c>
      <c r="AB64" s="120">
        <f t="shared" si="18"/>
        <v>4010.6213153999997</v>
      </c>
      <c r="AC64" s="120">
        <f t="shared" si="18"/>
        <v>527.9872601</v>
      </c>
      <c r="AD64" s="120">
        <f t="shared" si="18"/>
        <v>7298.522399999999</v>
      </c>
      <c r="AE64" s="120">
        <f t="shared" si="18"/>
        <v>1447.755026</v>
      </c>
      <c r="AF64" s="120">
        <f t="shared" si="18"/>
        <v>331.4331</v>
      </c>
      <c r="AG64" s="120">
        <f t="shared" si="18"/>
        <v>1064.38079</v>
      </c>
      <c r="AH64" s="120">
        <f t="shared" si="18"/>
        <v>234.916956</v>
      </c>
      <c r="AI64" s="120">
        <f aca="true" t="shared" si="19" ref="AI64:BJ64">AI59*(AI23/100)</f>
        <v>44.888909</v>
      </c>
      <c r="AJ64" s="120">
        <f t="shared" si="19"/>
        <v>1052.9719793999998</v>
      </c>
      <c r="AK64" s="120">
        <f t="shared" si="19"/>
        <v>0</v>
      </c>
      <c r="AL64" s="120">
        <f t="shared" si="19"/>
        <v>799.214546</v>
      </c>
      <c r="AM64" s="120">
        <f t="shared" si="19"/>
        <v>151.8782055</v>
      </c>
      <c r="AN64" s="120">
        <f t="shared" si="19"/>
        <v>146.10891</v>
      </c>
      <c r="AO64" s="120">
        <f t="shared" si="19"/>
        <v>0</v>
      </c>
      <c r="AP64" s="120">
        <f t="shared" si="19"/>
        <v>0</v>
      </c>
      <c r="AQ64" s="120">
        <f t="shared" si="19"/>
        <v>422.193276</v>
      </c>
      <c r="AR64" s="120">
        <f t="shared" si="19"/>
        <v>279.49083</v>
      </c>
      <c r="AS64" s="120">
        <f t="shared" si="19"/>
        <v>0</v>
      </c>
      <c r="AT64" s="120">
        <f t="shared" si="19"/>
        <v>473.79231839999994</v>
      </c>
      <c r="AU64" s="120">
        <f t="shared" si="19"/>
        <v>915.2924100000001</v>
      </c>
      <c r="AV64" s="120">
        <f t="shared" si="19"/>
        <v>329.148834</v>
      </c>
      <c r="AW64" s="120">
        <f t="shared" si="19"/>
        <v>120.69911699999999</v>
      </c>
      <c r="AX64" s="120">
        <f t="shared" si="19"/>
        <v>0</v>
      </c>
      <c r="AY64" s="120">
        <f t="shared" si="19"/>
        <v>289.47549</v>
      </c>
      <c r="AZ64" s="120">
        <f t="shared" si="19"/>
        <v>0</v>
      </c>
      <c r="BA64" s="120">
        <f t="shared" si="19"/>
        <v>327.31342</v>
      </c>
      <c r="BB64" s="120">
        <f t="shared" si="19"/>
        <v>0</v>
      </c>
      <c r="BC64" s="120">
        <f t="shared" si="19"/>
        <v>453.47901900000005</v>
      </c>
      <c r="BD64" s="120">
        <f t="shared" si="19"/>
        <v>1399.9205884</v>
      </c>
      <c r="BE64" s="120">
        <f t="shared" si="19"/>
        <v>0</v>
      </c>
      <c r="BF64" s="120">
        <f t="shared" si="19"/>
        <v>200.60292800000002</v>
      </c>
      <c r="BG64" s="120">
        <f t="shared" si="19"/>
        <v>0</v>
      </c>
      <c r="BH64" s="120">
        <f t="shared" si="19"/>
        <v>294.96012800000005</v>
      </c>
      <c r="BI64" s="120">
        <f t="shared" si="19"/>
        <v>0</v>
      </c>
      <c r="BJ64" s="120">
        <f t="shared" si="19"/>
        <v>0</v>
      </c>
      <c r="BL64" s="120">
        <f t="shared" si="9"/>
        <v>267283.58155609993</v>
      </c>
      <c r="BM64" s="120"/>
      <c r="BN64" s="130">
        <f t="shared" si="10"/>
        <v>28179.740148399997</v>
      </c>
      <c r="BO64" s="120">
        <f t="shared" si="11"/>
        <v>239103.84140769995</v>
      </c>
      <c r="BP64" s="120"/>
      <c r="BQ64" s="132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  <c r="CJ64" s="121"/>
      <c r="CK64" s="121"/>
      <c r="CL64" s="121"/>
      <c r="CM64" s="121"/>
      <c r="CN64" s="121"/>
      <c r="CO64" s="121"/>
      <c r="CP64" s="121"/>
      <c r="CQ64" s="121"/>
      <c r="CR64" s="121"/>
    </row>
    <row r="65" spans="1:96" ht="12.75">
      <c r="A65" s="22" t="s">
        <v>492</v>
      </c>
      <c r="B65" s="21"/>
      <c r="C65" s="120">
        <f aca="true" t="shared" si="20" ref="C65:AH65">C59*(C24/100)</f>
        <v>0</v>
      </c>
      <c r="D65" s="120">
        <f t="shared" si="20"/>
        <v>0</v>
      </c>
      <c r="E65" s="120">
        <f t="shared" si="20"/>
        <v>0</v>
      </c>
      <c r="F65" s="120">
        <f t="shared" si="20"/>
        <v>0</v>
      </c>
      <c r="G65" s="120">
        <f t="shared" si="20"/>
        <v>0</v>
      </c>
      <c r="H65" s="120">
        <f t="shared" si="20"/>
        <v>0</v>
      </c>
      <c r="I65" s="120">
        <f t="shared" si="20"/>
        <v>0</v>
      </c>
      <c r="J65" s="120">
        <f t="shared" si="20"/>
        <v>0</v>
      </c>
      <c r="K65" s="120">
        <f t="shared" si="20"/>
        <v>0</v>
      </c>
      <c r="L65" s="120">
        <f t="shared" si="20"/>
        <v>0</v>
      </c>
      <c r="M65" s="120">
        <f t="shared" si="20"/>
        <v>0</v>
      </c>
      <c r="N65" s="120">
        <f t="shared" si="20"/>
        <v>0</v>
      </c>
      <c r="O65" s="120">
        <f t="shared" si="20"/>
        <v>0</v>
      </c>
      <c r="P65" s="120">
        <f t="shared" si="20"/>
        <v>0</v>
      </c>
      <c r="Q65" s="120">
        <f t="shared" si="20"/>
        <v>0</v>
      </c>
      <c r="R65" s="120">
        <f t="shared" si="20"/>
        <v>0</v>
      </c>
      <c r="S65" s="120">
        <f t="shared" si="20"/>
        <v>0</v>
      </c>
      <c r="T65" s="120">
        <f t="shared" si="20"/>
        <v>3537.4259850000003</v>
      </c>
      <c r="U65" s="120">
        <f t="shared" si="20"/>
        <v>0</v>
      </c>
      <c r="V65" s="120">
        <f t="shared" si="20"/>
        <v>2614.835442</v>
      </c>
      <c r="W65" s="120">
        <f t="shared" si="20"/>
        <v>0</v>
      </c>
      <c r="X65" s="120">
        <f t="shared" si="20"/>
        <v>0</v>
      </c>
      <c r="Y65" s="120">
        <f t="shared" si="20"/>
        <v>0</v>
      </c>
      <c r="Z65" s="120">
        <f t="shared" si="20"/>
        <v>0</v>
      </c>
      <c r="AA65" s="120">
        <f t="shared" si="20"/>
        <v>0</v>
      </c>
      <c r="AB65" s="120">
        <f t="shared" si="20"/>
        <v>0</v>
      </c>
      <c r="AC65" s="120">
        <f t="shared" si="20"/>
        <v>0</v>
      </c>
      <c r="AD65" s="120">
        <f t="shared" si="20"/>
        <v>0</v>
      </c>
      <c r="AE65" s="120">
        <f t="shared" si="20"/>
        <v>0</v>
      </c>
      <c r="AF65" s="120">
        <f t="shared" si="20"/>
        <v>0</v>
      </c>
      <c r="AG65" s="120">
        <f t="shared" si="20"/>
        <v>0</v>
      </c>
      <c r="AH65" s="120">
        <f t="shared" si="20"/>
        <v>0</v>
      </c>
      <c r="AI65" s="120">
        <f aca="true" t="shared" si="21" ref="AI65:BJ65">AI59*(AI24/100)</f>
        <v>0</v>
      </c>
      <c r="AJ65" s="120">
        <f t="shared" si="21"/>
        <v>0</v>
      </c>
      <c r="AK65" s="120">
        <f t="shared" si="21"/>
        <v>0</v>
      </c>
      <c r="AL65" s="120">
        <f t="shared" si="21"/>
        <v>0</v>
      </c>
      <c r="AM65" s="120">
        <f t="shared" si="21"/>
        <v>0</v>
      </c>
      <c r="AN65" s="120">
        <f t="shared" si="21"/>
        <v>0</v>
      </c>
      <c r="AO65" s="120">
        <f t="shared" si="21"/>
        <v>0</v>
      </c>
      <c r="AP65" s="120">
        <f t="shared" si="21"/>
        <v>0</v>
      </c>
      <c r="AQ65" s="120">
        <f t="shared" si="21"/>
        <v>0</v>
      </c>
      <c r="AR65" s="120">
        <f t="shared" si="21"/>
        <v>0</v>
      </c>
      <c r="AS65" s="120">
        <f t="shared" si="21"/>
        <v>0</v>
      </c>
      <c r="AT65" s="120">
        <f t="shared" si="21"/>
        <v>0</v>
      </c>
      <c r="AU65" s="120">
        <f t="shared" si="21"/>
        <v>0</v>
      </c>
      <c r="AV65" s="120">
        <f t="shared" si="21"/>
        <v>0</v>
      </c>
      <c r="AW65" s="120">
        <f t="shared" si="21"/>
        <v>0</v>
      </c>
      <c r="AX65" s="120">
        <f t="shared" si="21"/>
        <v>0</v>
      </c>
      <c r="AY65" s="120">
        <f t="shared" si="21"/>
        <v>0</v>
      </c>
      <c r="AZ65" s="120">
        <f t="shared" si="21"/>
        <v>0</v>
      </c>
      <c r="BA65" s="120">
        <f t="shared" si="21"/>
        <v>0</v>
      </c>
      <c r="BB65" s="120">
        <f t="shared" si="21"/>
        <v>0</v>
      </c>
      <c r="BC65" s="120">
        <f t="shared" si="21"/>
        <v>0</v>
      </c>
      <c r="BD65" s="120">
        <f t="shared" si="21"/>
        <v>0</v>
      </c>
      <c r="BE65" s="120">
        <f t="shared" si="21"/>
        <v>0</v>
      </c>
      <c r="BF65" s="120">
        <f t="shared" si="21"/>
        <v>0</v>
      </c>
      <c r="BG65" s="120">
        <f t="shared" si="21"/>
        <v>0</v>
      </c>
      <c r="BH65" s="120">
        <f t="shared" si="21"/>
        <v>0</v>
      </c>
      <c r="BI65" s="120">
        <f t="shared" si="21"/>
        <v>0</v>
      </c>
      <c r="BJ65" s="120">
        <f t="shared" si="21"/>
        <v>0</v>
      </c>
      <c r="BL65" s="120">
        <f t="shared" si="9"/>
        <v>6152.261427</v>
      </c>
      <c r="BM65" s="120"/>
      <c r="BN65" s="130">
        <f t="shared" si="10"/>
        <v>0</v>
      </c>
      <c r="BO65" s="120">
        <f t="shared" si="11"/>
        <v>6152.261427</v>
      </c>
      <c r="BP65" s="120"/>
      <c r="BQ65" s="132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  <c r="CJ65" s="121"/>
      <c r="CK65" s="121"/>
      <c r="CL65" s="121"/>
      <c r="CM65" s="121"/>
      <c r="CN65" s="121"/>
      <c r="CO65" s="121"/>
      <c r="CP65" s="121"/>
      <c r="CQ65" s="121"/>
      <c r="CR65" s="121"/>
    </row>
    <row r="66" spans="1:96" ht="12.75">
      <c r="A66" s="31" t="s">
        <v>162</v>
      </c>
      <c r="B66" s="21"/>
      <c r="C66" s="120">
        <f>SUM(C61:C65)</f>
        <v>1346563.813</v>
      </c>
      <c r="D66" s="120">
        <f>SUM(D61:D65)</f>
        <v>5591834.46</v>
      </c>
      <c r="E66" s="120">
        <f aca="true" t="shared" si="22" ref="E66:BJ66">SUM(E61:E65)</f>
        <v>1360549.1290000002</v>
      </c>
      <c r="F66" s="120">
        <f>SUM(F61:F65)</f>
        <v>890973.367</v>
      </c>
      <c r="G66" s="120">
        <f t="shared" si="22"/>
        <v>829321.602</v>
      </c>
      <c r="H66" s="120">
        <f t="shared" si="22"/>
        <v>415977.934</v>
      </c>
      <c r="I66" s="120">
        <f t="shared" si="22"/>
        <v>120327.38399999999</v>
      </c>
      <c r="J66" s="120">
        <f t="shared" si="22"/>
        <v>391030.29399999994</v>
      </c>
      <c r="K66" s="120">
        <f t="shared" si="22"/>
        <v>582499.556639</v>
      </c>
      <c r="L66" s="120">
        <f t="shared" si="22"/>
        <v>126538.33300000001</v>
      </c>
      <c r="M66" s="120">
        <f t="shared" si="22"/>
        <v>241192.423</v>
      </c>
      <c r="N66" s="120">
        <f>SUM(N61:N65)</f>
        <v>218372.869</v>
      </c>
      <c r="O66" s="120">
        <f t="shared" si="22"/>
        <v>499521.11399999994</v>
      </c>
      <c r="P66" s="120">
        <f t="shared" si="22"/>
        <v>91572.41900000001</v>
      </c>
      <c r="Q66" s="120">
        <f>SUM(Q61:Q65)</f>
        <v>90245.01000000001</v>
      </c>
      <c r="R66" s="120">
        <f t="shared" si="22"/>
        <v>289054.2139999999</v>
      </c>
      <c r="S66" s="120">
        <f t="shared" si="22"/>
        <v>183810.538</v>
      </c>
      <c r="T66" s="120">
        <f>SUM(T61:T65)</f>
        <v>62060.105</v>
      </c>
      <c r="U66" s="120">
        <f t="shared" si="22"/>
        <v>204673.444</v>
      </c>
      <c r="V66" s="120">
        <f>SUM(V61:V65)</f>
        <v>45874.306</v>
      </c>
      <c r="W66" s="120">
        <f>SUM(W61:W65)</f>
        <v>363653.68999999994</v>
      </c>
      <c r="X66" s="120">
        <f t="shared" si="22"/>
        <v>162313.04600000003</v>
      </c>
      <c r="Y66" s="120">
        <f>SUM(Y61:Y65)</f>
        <v>157369.90841730003</v>
      </c>
      <c r="Z66" s="120">
        <f>SUM(Z61:Z65)</f>
        <v>40062</v>
      </c>
      <c r="AA66" s="120">
        <f t="shared" si="22"/>
        <v>21069.141</v>
      </c>
      <c r="AB66" s="120">
        <f t="shared" si="22"/>
        <v>106101.09299999998</v>
      </c>
      <c r="AC66" s="120">
        <f>SUM(AC61:AC65)</f>
        <v>40304.371</v>
      </c>
      <c r="AD66" s="120">
        <f>SUM(AD61:AD65)</f>
        <v>121642.04</v>
      </c>
      <c r="AE66" s="120">
        <f t="shared" si="22"/>
        <v>723877.5129999999</v>
      </c>
      <c r="AF66" s="120">
        <f>SUM(AF61:AF65)</f>
        <v>55238.85</v>
      </c>
      <c r="AG66" s="120">
        <f t="shared" si="22"/>
        <v>106438.079</v>
      </c>
      <c r="AH66" s="120">
        <f t="shared" si="22"/>
        <v>117458.47799999999</v>
      </c>
      <c r="AI66" s="120">
        <f t="shared" si="22"/>
        <v>44888.909</v>
      </c>
      <c r="AJ66" s="120">
        <f>SUM(AJ61:AJ65)</f>
        <v>33008.526</v>
      </c>
      <c r="AK66" s="120">
        <f t="shared" si="22"/>
        <v>67838.022</v>
      </c>
      <c r="AL66" s="120">
        <f t="shared" si="22"/>
        <v>30739.021</v>
      </c>
      <c r="AM66" s="120">
        <f>SUM(AM61:AM65)</f>
        <v>14464.590999999999</v>
      </c>
      <c r="AN66" s="120">
        <f t="shared" si="22"/>
        <v>24351.485</v>
      </c>
      <c r="AO66" s="120">
        <f t="shared" si="22"/>
        <v>47209.24900000001</v>
      </c>
      <c r="AP66" s="120">
        <f t="shared" si="22"/>
        <v>62953.443</v>
      </c>
      <c r="AQ66" s="120">
        <f t="shared" si="22"/>
        <v>35182.773</v>
      </c>
      <c r="AR66" s="120">
        <f t="shared" si="22"/>
        <v>9316.361000000003</v>
      </c>
      <c r="AS66" s="120">
        <f>SUM(AS61:AS65)</f>
        <v>2880.729</v>
      </c>
      <c r="AT66" s="120">
        <f t="shared" si="22"/>
        <v>98706.733</v>
      </c>
      <c r="AU66" s="120">
        <f t="shared" si="22"/>
        <v>26920.365</v>
      </c>
      <c r="AV66" s="120">
        <f t="shared" si="22"/>
        <v>54858.138999999996</v>
      </c>
      <c r="AW66" s="120">
        <f t="shared" si="22"/>
        <v>40233.03899999999</v>
      </c>
      <c r="AX66" s="120">
        <f>SUM(AX61:AX65)</f>
        <v>49.267</v>
      </c>
      <c r="AY66" s="120">
        <f t="shared" si="22"/>
        <v>28947.549000000003</v>
      </c>
      <c r="AZ66" s="120">
        <f t="shared" si="22"/>
        <v>34331.838</v>
      </c>
      <c r="BA66" s="120">
        <f>SUM(BA61:BA65)</f>
        <v>32731.341999999997</v>
      </c>
      <c r="BB66" s="120">
        <f t="shared" si="22"/>
        <v>34935.071</v>
      </c>
      <c r="BC66" s="120">
        <f t="shared" si="22"/>
        <v>21594.238999999998</v>
      </c>
      <c r="BD66" s="120">
        <f>SUM(BD61:BD65)</f>
        <v>15694.177</v>
      </c>
      <c r="BE66" s="120">
        <f>SUM(BE61:BE65)</f>
        <v>17129.679000000004</v>
      </c>
      <c r="BF66" s="120">
        <f>SUM(BF61:BF65)</f>
        <v>100301.46399999999</v>
      </c>
      <c r="BG66" s="120">
        <f>SUM(BG61:BG65)</f>
        <v>141.804</v>
      </c>
      <c r="BH66" s="120">
        <f>SUM(BH61:BH65)</f>
        <v>36870.015999999996</v>
      </c>
      <c r="BI66" s="120">
        <f t="shared" si="22"/>
        <v>5029.81</v>
      </c>
      <c r="BJ66" s="120">
        <f t="shared" si="22"/>
        <v>1370.426</v>
      </c>
      <c r="BL66" s="120">
        <f t="shared" si="9"/>
        <v>16520198.591056304</v>
      </c>
      <c r="BM66" s="120"/>
      <c r="BN66" s="130">
        <f t="shared" si="10"/>
        <v>7168887.473</v>
      </c>
      <c r="BO66" s="120">
        <f t="shared" si="11"/>
        <v>9351311.118056305</v>
      </c>
      <c r="BP66" s="120"/>
      <c r="BQ66" s="132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  <c r="CJ66" s="121"/>
      <c r="CK66" s="121"/>
      <c r="CL66" s="121"/>
      <c r="CM66" s="121"/>
      <c r="CN66" s="121"/>
      <c r="CO66" s="121"/>
      <c r="CP66" s="121"/>
      <c r="CQ66" s="121"/>
      <c r="CR66" s="121"/>
    </row>
    <row r="67" spans="1:96" ht="12.75">
      <c r="A67" s="22"/>
      <c r="B67" s="21"/>
      <c r="C67" s="120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133"/>
      <c r="Q67" s="133"/>
      <c r="R67" s="133"/>
      <c r="S67" s="133"/>
      <c r="T67" s="133"/>
      <c r="U67" s="133"/>
      <c r="V67" s="133"/>
      <c r="W67" s="133"/>
      <c r="X67" s="133"/>
      <c r="Y67" s="133"/>
      <c r="Z67" s="133"/>
      <c r="AA67" s="133"/>
      <c r="AB67" s="133"/>
      <c r="AC67" s="133"/>
      <c r="AD67" s="133"/>
      <c r="AE67" s="133"/>
      <c r="AF67" s="133"/>
      <c r="AG67" s="133"/>
      <c r="AH67" s="133"/>
      <c r="AI67" s="133"/>
      <c r="AJ67" s="133"/>
      <c r="AK67" s="133"/>
      <c r="AL67" s="133"/>
      <c r="AM67" s="133"/>
      <c r="AN67" s="133"/>
      <c r="AO67" s="133"/>
      <c r="AP67" s="133"/>
      <c r="AQ67" s="133"/>
      <c r="AR67" s="133"/>
      <c r="AS67" s="133"/>
      <c r="AT67" s="133"/>
      <c r="AU67" s="133"/>
      <c r="AV67" s="133"/>
      <c r="AW67" s="133"/>
      <c r="AX67" s="133"/>
      <c r="AY67" s="133"/>
      <c r="AZ67" s="133"/>
      <c r="BA67" s="133"/>
      <c r="BB67" s="133"/>
      <c r="BC67" s="133"/>
      <c r="BD67" s="133"/>
      <c r="BE67" s="133"/>
      <c r="BF67" s="133"/>
      <c r="BG67" s="133"/>
      <c r="BH67" s="133"/>
      <c r="BI67" s="133"/>
      <c r="BJ67" s="133"/>
      <c r="BL67" s="132">
        <f>SUM(BL61:BL64)</f>
        <v>16514046.329629302</v>
      </c>
      <c r="BM67" s="132"/>
      <c r="BN67" s="132">
        <f>SUM(BN61:BN64)</f>
        <v>7168887.472999999</v>
      </c>
      <c r="BO67" s="132">
        <f>SUM(BO61:BO64)</f>
        <v>9345158.856629303</v>
      </c>
      <c r="BP67" s="132"/>
      <c r="BQ67" s="132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  <c r="CJ67" s="121"/>
      <c r="CK67" s="121"/>
      <c r="CL67" s="121"/>
      <c r="CM67" s="121"/>
      <c r="CN67" s="121"/>
      <c r="CO67" s="121"/>
      <c r="CP67" s="121"/>
      <c r="CQ67" s="121"/>
      <c r="CR67" s="121"/>
    </row>
    <row r="68" spans="3:102" ht="12.75">
      <c r="C68" s="120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20"/>
      <c r="AM68" s="120"/>
      <c r="AN68" s="120"/>
      <c r="AO68" s="120"/>
      <c r="AP68" s="120"/>
      <c r="AQ68" s="120"/>
      <c r="AR68" s="120"/>
      <c r="AS68" s="120"/>
      <c r="AT68" s="120"/>
      <c r="AU68" s="120"/>
      <c r="AV68" s="120"/>
      <c r="AW68" s="120"/>
      <c r="AX68" s="120"/>
      <c r="AY68" s="120"/>
      <c r="AZ68" s="120"/>
      <c r="BA68" s="120"/>
      <c r="BB68" s="120"/>
      <c r="BC68" s="120"/>
      <c r="BD68" s="120"/>
      <c r="BE68" s="120"/>
      <c r="BF68" s="120"/>
      <c r="BG68" s="120"/>
      <c r="BH68" s="120"/>
      <c r="BI68" s="120"/>
      <c r="BJ68" s="120"/>
      <c r="BL68" s="120"/>
      <c r="BM68" s="120"/>
      <c r="BN68" s="120"/>
      <c r="BO68" s="120"/>
      <c r="BP68" s="120"/>
      <c r="BQ68" s="120"/>
      <c r="BR68" s="120"/>
      <c r="BS68" s="120"/>
      <c r="BT68" s="120"/>
      <c r="BU68" s="120"/>
      <c r="BV68" s="120"/>
      <c r="BW68" s="120"/>
      <c r="BX68" s="120"/>
      <c r="BY68" s="120"/>
      <c r="BZ68" s="120"/>
      <c r="CA68" s="120"/>
      <c r="CB68" s="120"/>
      <c r="CC68" s="120"/>
      <c r="CD68" s="120"/>
      <c r="CE68" s="120"/>
      <c r="CF68" s="120"/>
      <c r="CG68" s="120"/>
      <c r="CH68" s="120"/>
      <c r="CI68" s="120"/>
      <c r="CJ68" s="120"/>
      <c r="CK68" s="120"/>
      <c r="CL68" s="120"/>
      <c r="CM68" s="120"/>
      <c r="CN68" s="120"/>
      <c r="CO68" s="120"/>
      <c r="CP68" s="120"/>
      <c r="CQ68" s="120"/>
      <c r="CR68" s="120"/>
      <c r="CS68" s="120"/>
      <c r="CT68" s="120"/>
      <c r="CU68" s="120"/>
      <c r="CV68" s="120"/>
      <c r="CW68" s="120"/>
      <c r="CX68" s="120"/>
    </row>
    <row r="69" spans="1:102" ht="12.75">
      <c r="A69" s="51"/>
      <c r="C69" s="120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20"/>
      <c r="AM69" s="120"/>
      <c r="AN69" s="120"/>
      <c r="AO69" s="120"/>
      <c r="AP69" s="120"/>
      <c r="AQ69" s="120"/>
      <c r="AR69" s="120"/>
      <c r="AS69" s="120"/>
      <c r="AT69" s="120"/>
      <c r="AU69" s="120"/>
      <c r="AV69" s="120"/>
      <c r="AW69" s="120"/>
      <c r="AX69" s="120"/>
      <c r="AY69" s="120"/>
      <c r="AZ69" s="120"/>
      <c r="BA69" s="120"/>
      <c r="BB69" s="120"/>
      <c r="BC69" s="120"/>
      <c r="BD69" s="120"/>
      <c r="BE69" s="120"/>
      <c r="BF69" s="120"/>
      <c r="BG69" s="120"/>
      <c r="BH69" s="120"/>
      <c r="BI69" s="120"/>
      <c r="BJ69" s="120"/>
      <c r="BL69" s="120"/>
      <c r="BM69" s="120"/>
      <c r="BN69" s="120"/>
      <c r="BO69" s="120"/>
      <c r="BP69" s="120"/>
      <c r="BQ69" s="120"/>
      <c r="BR69" s="120"/>
      <c r="BS69" s="120"/>
      <c r="BT69" s="120"/>
      <c r="BU69" s="120"/>
      <c r="BV69" s="120"/>
      <c r="BW69" s="120"/>
      <c r="BX69" s="120"/>
      <c r="BY69" s="120"/>
      <c r="BZ69" s="120"/>
      <c r="CA69" s="120"/>
      <c r="CB69" s="120"/>
      <c r="CC69" s="120"/>
      <c r="CD69" s="120"/>
      <c r="CE69" s="120"/>
      <c r="CF69" s="120"/>
      <c r="CG69" s="120"/>
      <c r="CH69" s="120"/>
      <c r="CI69" s="120"/>
      <c r="CJ69" s="120"/>
      <c r="CK69" s="120"/>
      <c r="CL69" s="120"/>
      <c r="CM69" s="120"/>
      <c r="CN69" s="120"/>
      <c r="CO69" s="120"/>
      <c r="CP69" s="120"/>
      <c r="CQ69" s="120"/>
      <c r="CR69" s="120"/>
      <c r="CS69" s="120"/>
      <c r="CT69" s="120"/>
      <c r="CU69" s="120"/>
      <c r="CV69" s="120"/>
      <c r="CW69" s="120"/>
      <c r="CX69" s="120"/>
    </row>
    <row r="70" spans="1:102" ht="12.75">
      <c r="A70" s="22"/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  <c r="AJ70" s="120"/>
      <c r="AK70" s="120"/>
      <c r="AL70" s="120"/>
      <c r="AM70" s="120"/>
      <c r="AN70" s="120"/>
      <c r="AO70" s="120"/>
      <c r="AP70" s="120"/>
      <c r="AQ70" s="120"/>
      <c r="AR70" s="120"/>
      <c r="AS70" s="120"/>
      <c r="AT70" s="120"/>
      <c r="AU70" s="120"/>
      <c r="AV70" s="120"/>
      <c r="AW70" s="120"/>
      <c r="AX70" s="120"/>
      <c r="AY70" s="120"/>
      <c r="AZ70" s="120"/>
      <c r="BA70" s="120"/>
      <c r="BB70" s="120"/>
      <c r="BC70" s="120"/>
      <c r="BD70" s="120"/>
      <c r="BE70" s="120"/>
      <c r="BF70" s="120"/>
      <c r="BG70" s="120"/>
      <c r="BH70" s="120"/>
      <c r="BI70" s="120"/>
      <c r="BJ70" s="120"/>
      <c r="BL70" s="120"/>
      <c r="BM70" s="120"/>
      <c r="BN70" s="120"/>
      <c r="BO70" s="120"/>
      <c r="BP70" s="120"/>
      <c r="BQ70" s="120"/>
      <c r="BR70" s="120"/>
      <c r="BS70" s="120"/>
      <c r="BT70" s="120"/>
      <c r="BU70" s="120"/>
      <c r="BV70" s="120"/>
      <c r="BW70" s="120"/>
      <c r="BX70" s="120"/>
      <c r="BY70" s="120"/>
      <c r="BZ70" s="120"/>
      <c r="CA70" s="120"/>
      <c r="CB70" s="120"/>
      <c r="CC70" s="120"/>
      <c r="CD70" s="120"/>
      <c r="CE70" s="120"/>
      <c r="CF70" s="120"/>
      <c r="CG70" s="120"/>
      <c r="CH70" s="120"/>
      <c r="CI70" s="120"/>
      <c r="CJ70" s="120"/>
      <c r="CK70" s="120"/>
      <c r="CL70" s="120"/>
      <c r="CM70" s="120"/>
      <c r="CN70" s="120"/>
      <c r="CO70" s="120"/>
      <c r="CP70" s="120"/>
      <c r="CQ70" s="120"/>
      <c r="CR70" s="120"/>
      <c r="CS70" s="120"/>
      <c r="CT70" s="120"/>
      <c r="CU70" s="120"/>
      <c r="CV70" s="120"/>
      <c r="CW70" s="120"/>
      <c r="CX70" s="120"/>
    </row>
    <row r="71" spans="1:102" ht="12.75">
      <c r="A71" s="22"/>
      <c r="C71" s="120"/>
      <c r="D71" s="120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  <c r="AK71" s="120"/>
      <c r="AL71" s="120"/>
      <c r="AM71" s="120"/>
      <c r="AN71" s="120"/>
      <c r="AO71" s="120"/>
      <c r="AP71" s="120"/>
      <c r="AQ71" s="120"/>
      <c r="AR71" s="120"/>
      <c r="AS71" s="120"/>
      <c r="AT71" s="120"/>
      <c r="AU71" s="120"/>
      <c r="AV71" s="120"/>
      <c r="AW71" s="120"/>
      <c r="AX71" s="120"/>
      <c r="AY71" s="120"/>
      <c r="AZ71" s="120"/>
      <c r="BA71" s="120"/>
      <c r="BB71" s="120"/>
      <c r="BC71" s="120"/>
      <c r="BD71" s="120"/>
      <c r="BE71" s="120"/>
      <c r="BF71" s="120"/>
      <c r="BG71" s="120"/>
      <c r="BH71" s="120"/>
      <c r="BI71" s="120"/>
      <c r="BJ71" s="120"/>
      <c r="BL71" s="120"/>
      <c r="BM71" s="120"/>
      <c r="BN71" s="120"/>
      <c r="BO71" s="120"/>
      <c r="BP71" s="120"/>
      <c r="BQ71" s="120"/>
      <c r="BR71" s="120"/>
      <c r="BS71" s="120"/>
      <c r="BT71" s="120"/>
      <c r="BU71" s="120"/>
      <c r="BV71" s="120"/>
      <c r="BW71" s="120"/>
      <c r="BX71" s="120"/>
      <c r="BY71" s="120"/>
      <c r="BZ71" s="120"/>
      <c r="CA71" s="120"/>
      <c r="CB71" s="120"/>
      <c r="CC71" s="120"/>
      <c r="CD71" s="120"/>
      <c r="CE71" s="120"/>
      <c r="CF71" s="120"/>
      <c r="CG71" s="120"/>
      <c r="CH71" s="120"/>
      <c r="CI71" s="120"/>
      <c r="CJ71" s="120"/>
      <c r="CK71" s="120"/>
      <c r="CL71" s="120"/>
      <c r="CM71" s="120"/>
      <c r="CN71" s="120"/>
      <c r="CO71" s="120"/>
      <c r="CP71" s="120"/>
      <c r="CQ71" s="120"/>
      <c r="CR71" s="120"/>
      <c r="CS71" s="120"/>
      <c r="CT71" s="120"/>
      <c r="CU71" s="120"/>
      <c r="CV71" s="120"/>
      <c r="CW71" s="120"/>
      <c r="CX71" s="120"/>
    </row>
    <row r="72" spans="3:102" ht="12.75">
      <c r="C72" s="120"/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20"/>
      <c r="AM72" s="120"/>
      <c r="AN72" s="120"/>
      <c r="AO72" s="120"/>
      <c r="AP72" s="120"/>
      <c r="AQ72" s="120"/>
      <c r="AR72" s="120"/>
      <c r="AS72" s="120"/>
      <c r="AT72" s="120"/>
      <c r="AU72" s="120"/>
      <c r="AV72" s="120"/>
      <c r="AW72" s="120"/>
      <c r="AX72" s="120"/>
      <c r="AY72" s="120"/>
      <c r="AZ72" s="120"/>
      <c r="BA72" s="120"/>
      <c r="BB72" s="120"/>
      <c r="BC72" s="120"/>
      <c r="BD72" s="120"/>
      <c r="BE72" s="120"/>
      <c r="BF72" s="120"/>
      <c r="BG72" s="120"/>
      <c r="BH72" s="120"/>
      <c r="BI72" s="120"/>
      <c r="BJ72" s="120"/>
      <c r="BL72" s="120"/>
      <c r="BM72" s="120"/>
      <c r="BN72" s="120"/>
      <c r="BO72" s="120"/>
      <c r="BP72" s="120"/>
      <c r="BQ72" s="120"/>
      <c r="BR72" s="120"/>
      <c r="BS72" s="120"/>
      <c r="BT72" s="120"/>
      <c r="BU72" s="120"/>
      <c r="BV72" s="120"/>
      <c r="BW72" s="120"/>
      <c r="BX72" s="120"/>
      <c r="BY72" s="120"/>
      <c r="BZ72" s="120"/>
      <c r="CA72" s="120"/>
      <c r="CB72" s="120"/>
      <c r="CC72" s="120"/>
      <c r="CD72" s="120"/>
      <c r="CE72" s="120"/>
      <c r="CF72" s="120"/>
      <c r="CG72" s="120"/>
      <c r="CH72" s="120"/>
      <c r="CI72" s="120"/>
      <c r="CJ72" s="120"/>
      <c r="CK72" s="120"/>
      <c r="CL72" s="120"/>
      <c r="CM72" s="120"/>
      <c r="CN72" s="120"/>
      <c r="CO72" s="120"/>
      <c r="CP72" s="120"/>
      <c r="CQ72" s="120"/>
      <c r="CR72" s="120"/>
      <c r="CS72" s="120"/>
      <c r="CT72" s="120"/>
      <c r="CU72" s="120"/>
      <c r="CV72" s="120"/>
      <c r="CW72" s="120"/>
      <c r="CX72" s="120"/>
    </row>
    <row r="73" spans="3:102" ht="12.75">
      <c r="C73" s="120"/>
      <c r="D73" s="120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20"/>
      <c r="AM73" s="120"/>
      <c r="AN73" s="120"/>
      <c r="AO73" s="120"/>
      <c r="AP73" s="120"/>
      <c r="AQ73" s="120"/>
      <c r="AR73" s="120"/>
      <c r="AS73" s="120"/>
      <c r="AT73" s="120"/>
      <c r="AU73" s="120"/>
      <c r="AV73" s="120"/>
      <c r="AW73" s="120"/>
      <c r="AX73" s="120"/>
      <c r="AY73" s="120"/>
      <c r="AZ73" s="120"/>
      <c r="BA73" s="120"/>
      <c r="BB73" s="120"/>
      <c r="BC73" s="120"/>
      <c r="BD73" s="120"/>
      <c r="BE73" s="120"/>
      <c r="BF73" s="120"/>
      <c r="BG73" s="120"/>
      <c r="BH73" s="120"/>
      <c r="BI73" s="120"/>
      <c r="BJ73" s="120"/>
      <c r="BL73" s="134"/>
      <c r="BM73" s="134"/>
      <c r="BN73" s="120"/>
      <c r="BO73" s="120"/>
      <c r="BP73" s="120"/>
      <c r="BQ73" s="120"/>
      <c r="BR73" s="120"/>
      <c r="BS73" s="120"/>
      <c r="BT73" s="120"/>
      <c r="BU73" s="120"/>
      <c r="BV73" s="120"/>
      <c r="BW73" s="120"/>
      <c r="BX73" s="120"/>
      <c r="BY73" s="120"/>
      <c r="BZ73" s="120"/>
      <c r="CA73" s="120"/>
      <c r="CB73" s="120"/>
      <c r="CC73" s="120"/>
      <c r="CD73" s="120"/>
      <c r="CE73" s="120"/>
      <c r="CF73" s="120"/>
      <c r="CG73" s="120"/>
      <c r="CH73" s="120"/>
      <c r="CI73" s="120"/>
      <c r="CJ73" s="120"/>
      <c r="CK73" s="120"/>
      <c r="CL73" s="120"/>
      <c r="CM73" s="120"/>
      <c r="CN73" s="120"/>
      <c r="CO73" s="120"/>
      <c r="CP73" s="120"/>
      <c r="CQ73" s="120"/>
      <c r="CR73" s="120"/>
      <c r="CS73" s="120"/>
      <c r="CT73" s="120"/>
      <c r="CU73" s="120"/>
      <c r="CV73" s="120"/>
      <c r="CW73" s="120"/>
      <c r="CX73" s="120"/>
    </row>
    <row r="74" spans="3:102" ht="12.75">
      <c r="C74" s="120"/>
      <c r="D74" s="120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20"/>
      <c r="AM74" s="120"/>
      <c r="AN74" s="120"/>
      <c r="AO74" s="120"/>
      <c r="AP74" s="120"/>
      <c r="AQ74" s="120"/>
      <c r="AR74" s="120"/>
      <c r="AS74" s="120"/>
      <c r="AT74" s="120"/>
      <c r="AU74" s="120"/>
      <c r="AV74" s="120"/>
      <c r="AW74" s="120"/>
      <c r="AX74" s="120"/>
      <c r="AY74" s="120"/>
      <c r="AZ74" s="120"/>
      <c r="BA74" s="120"/>
      <c r="BB74" s="120"/>
      <c r="BC74" s="120"/>
      <c r="BD74" s="120"/>
      <c r="BE74" s="120"/>
      <c r="BF74" s="120"/>
      <c r="BG74" s="120"/>
      <c r="BH74" s="120"/>
      <c r="BI74" s="120"/>
      <c r="BJ74" s="120"/>
      <c r="BL74" s="120"/>
      <c r="BM74" s="120"/>
      <c r="BN74" s="120"/>
      <c r="BO74" s="120"/>
      <c r="BP74" s="120"/>
      <c r="BQ74" s="120"/>
      <c r="BR74" s="120"/>
      <c r="BS74" s="120"/>
      <c r="BT74" s="120"/>
      <c r="BU74" s="120"/>
      <c r="BV74" s="120"/>
      <c r="BW74" s="120"/>
      <c r="BX74" s="120"/>
      <c r="BY74" s="120"/>
      <c r="BZ74" s="120"/>
      <c r="CA74" s="120"/>
      <c r="CB74" s="120"/>
      <c r="CC74" s="120"/>
      <c r="CD74" s="120"/>
      <c r="CE74" s="120"/>
      <c r="CF74" s="120"/>
      <c r="CG74" s="120"/>
      <c r="CH74" s="120"/>
      <c r="CI74" s="120"/>
      <c r="CJ74" s="120"/>
      <c r="CK74" s="120"/>
      <c r="CL74" s="120"/>
      <c r="CM74" s="120"/>
      <c r="CN74" s="120"/>
      <c r="CO74" s="120"/>
      <c r="CP74" s="120"/>
      <c r="CQ74" s="120"/>
      <c r="CR74" s="120"/>
      <c r="CS74" s="120"/>
      <c r="CT74" s="120"/>
      <c r="CU74" s="120"/>
      <c r="CV74" s="120"/>
      <c r="CW74" s="120"/>
      <c r="CX74" s="120"/>
    </row>
    <row r="75" spans="3:102" ht="12.75">
      <c r="C75" s="120"/>
      <c r="D75" s="120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20"/>
      <c r="AM75" s="120"/>
      <c r="AN75" s="120"/>
      <c r="AO75" s="120"/>
      <c r="AP75" s="120"/>
      <c r="AQ75" s="120"/>
      <c r="AR75" s="120"/>
      <c r="AS75" s="120"/>
      <c r="AT75" s="120"/>
      <c r="AU75" s="120"/>
      <c r="AV75" s="120"/>
      <c r="AW75" s="120"/>
      <c r="AX75" s="120"/>
      <c r="AY75" s="120"/>
      <c r="AZ75" s="120"/>
      <c r="BA75" s="120"/>
      <c r="BB75" s="120"/>
      <c r="BC75" s="120"/>
      <c r="BD75" s="120"/>
      <c r="BE75" s="120"/>
      <c r="BF75" s="120"/>
      <c r="BG75" s="120"/>
      <c r="BH75" s="120"/>
      <c r="BI75" s="120"/>
      <c r="BJ75" s="120"/>
      <c r="BL75" s="120"/>
      <c r="BM75" s="120"/>
      <c r="BN75" s="120"/>
      <c r="BO75" s="120"/>
      <c r="BP75" s="120"/>
      <c r="BQ75" s="120"/>
      <c r="BR75" s="120"/>
      <c r="BS75" s="120"/>
      <c r="BT75" s="120"/>
      <c r="BU75" s="120"/>
      <c r="BV75" s="120"/>
      <c r="BW75" s="120"/>
      <c r="BX75" s="120"/>
      <c r="BY75" s="120"/>
      <c r="BZ75" s="120"/>
      <c r="CA75" s="120"/>
      <c r="CB75" s="120"/>
      <c r="CC75" s="120"/>
      <c r="CD75" s="120"/>
      <c r="CE75" s="120"/>
      <c r="CF75" s="120"/>
      <c r="CG75" s="120"/>
      <c r="CH75" s="120"/>
      <c r="CI75" s="120"/>
      <c r="CJ75" s="120"/>
      <c r="CK75" s="120"/>
      <c r="CL75" s="120"/>
      <c r="CM75" s="120"/>
      <c r="CN75" s="120"/>
      <c r="CO75" s="120"/>
      <c r="CP75" s="120"/>
      <c r="CQ75" s="120"/>
      <c r="CR75" s="120"/>
      <c r="CS75" s="120"/>
      <c r="CT75" s="120"/>
      <c r="CU75" s="120"/>
      <c r="CV75" s="120"/>
      <c r="CW75" s="120"/>
      <c r="CX75" s="120"/>
    </row>
    <row r="76" spans="3:102" ht="12.75">
      <c r="C76" s="120"/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20"/>
      <c r="AM76" s="120"/>
      <c r="AN76" s="120"/>
      <c r="AO76" s="120"/>
      <c r="AP76" s="120"/>
      <c r="AQ76" s="120"/>
      <c r="AR76" s="120"/>
      <c r="AS76" s="120"/>
      <c r="AT76" s="120"/>
      <c r="AU76" s="120"/>
      <c r="AV76" s="120"/>
      <c r="AW76" s="120"/>
      <c r="AX76" s="120"/>
      <c r="AY76" s="120"/>
      <c r="AZ76" s="120"/>
      <c r="BA76" s="120"/>
      <c r="BB76" s="120"/>
      <c r="BC76" s="120"/>
      <c r="BD76" s="120"/>
      <c r="BE76" s="120"/>
      <c r="BF76" s="120"/>
      <c r="BG76" s="120"/>
      <c r="BH76" s="120"/>
      <c r="BI76" s="120"/>
      <c r="BJ76" s="120"/>
      <c r="BL76" s="120"/>
      <c r="BM76" s="120"/>
      <c r="BN76" s="120"/>
      <c r="BO76" s="120"/>
      <c r="BP76" s="120"/>
      <c r="BQ76" s="120"/>
      <c r="BR76" s="120"/>
      <c r="BS76" s="120"/>
      <c r="BT76" s="120"/>
      <c r="BU76" s="120"/>
      <c r="BV76" s="120"/>
      <c r="BW76" s="120"/>
      <c r="BX76" s="120"/>
      <c r="BY76" s="120"/>
      <c r="BZ76" s="120"/>
      <c r="CA76" s="120"/>
      <c r="CB76" s="120"/>
      <c r="CC76" s="120"/>
      <c r="CD76" s="120"/>
      <c r="CE76" s="120"/>
      <c r="CF76" s="120"/>
      <c r="CG76" s="120"/>
      <c r="CH76" s="120"/>
      <c r="CI76" s="120"/>
      <c r="CJ76" s="120"/>
      <c r="CK76" s="120"/>
      <c r="CL76" s="120"/>
      <c r="CM76" s="120"/>
      <c r="CN76" s="120"/>
      <c r="CO76" s="120"/>
      <c r="CP76" s="120"/>
      <c r="CQ76" s="120"/>
      <c r="CR76" s="120"/>
      <c r="CS76" s="120"/>
      <c r="CT76" s="120"/>
      <c r="CU76" s="120"/>
      <c r="CV76" s="120"/>
      <c r="CW76" s="120"/>
      <c r="CX76" s="120"/>
    </row>
    <row r="77" spans="3:102" ht="12.75">
      <c r="C77" s="120"/>
      <c r="D77" s="120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20"/>
      <c r="AV77" s="120"/>
      <c r="AW77" s="120"/>
      <c r="AX77" s="120"/>
      <c r="AY77" s="120"/>
      <c r="AZ77" s="120"/>
      <c r="BA77" s="120"/>
      <c r="BB77" s="120"/>
      <c r="BC77" s="120"/>
      <c r="BD77" s="120"/>
      <c r="BE77" s="120"/>
      <c r="BF77" s="120"/>
      <c r="BG77" s="120"/>
      <c r="BH77" s="120"/>
      <c r="BI77" s="120"/>
      <c r="BJ77" s="120"/>
      <c r="BL77" s="120"/>
      <c r="BM77" s="120"/>
      <c r="BN77" s="120"/>
      <c r="BO77" s="120"/>
      <c r="BP77" s="120"/>
      <c r="BQ77" s="120"/>
      <c r="BR77" s="120"/>
      <c r="BS77" s="120"/>
      <c r="BT77" s="120"/>
      <c r="BU77" s="120"/>
      <c r="BV77" s="120"/>
      <c r="BW77" s="120"/>
      <c r="BX77" s="120"/>
      <c r="BY77" s="120"/>
      <c r="BZ77" s="120"/>
      <c r="CA77" s="120"/>
      <c r="CB77" s="120"/>
      <c r="CC77" s="120"/>
      <c r="CD77" s="120"/>
      <c r="CE77" s="120"/>
      <c r="CF77" s="120"/>
      <c r="CG77" s="120"/>
      <c r="CH77" s="120"/>
      <c r="CI77" s="120"/>
      <c r="CJ77" s="120"/>
      <c r="CK77" s="120"/>
      <c r="CL77" s="120"/>
      <c r="CM77" s="120"/>
      <c r="CN77" s="120"/>
      <c r="CO77" s="120"/>
      <c r="CP77" s="120"/>
      <c r="CQ77" s="120"/>
      <c r="CR77" s="120"/>
      <c r="CS77" s="120"/>
      <c r="CT77" s="120"/>
      <c r="CU77" s="120"/>
      <c r="CV77" s="120"/>
      <c r="CW77" s="120"/>
      <c r="CX77" s="120"/>
    </row>
    <row r="78" spans="3:102" ht="12.75">
      <c r="C78" s="120"/>
      <c r="D78" s="120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0"/>
      <c r="AG78" s="120"/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20"/>
      <c r="AV78" s="120"/>
      <c r="AW78" s="120"/>
      <c r="AX78" s="120"/>
      <c r="AY78" s="120"/>
      <c r="AZ78" s="120"/>
      <c r="BA78" s="120"/>
      <c r="BB78" s="120"/>
      <c r="BC78" s="120"/>
      <c r="BD78" s="120"/>
      <c r="BE78" s="120"/>
      <c r="BF78" s="120"/>
      <c r="BG78" s="120"/>
      <c r="BH78" s="120"/>
      <c r="BI78" s="120"/>
      <c r="BJ78" s="120"/>
      <c r="BL78" s="120"/>
      <c r="BM78" s="120"/>
      <c r="BN78" s="120"/>
      <c r="BO78" s="120"/>
      <c r="BP78" s="120"/>
      <c r="BQ78" s="120"/>
      <c r="BR78" s="120"/>
      <c r="BS78" s="120"/>
      <c r="BT78" s="120"/>
      <c r="BU78" s="120"/>
      <c r="BV78" s="120"/>
      <c r="BW78" s="120"/>
      <c r="BX78" s="120"/>
      <c r="BY78" s="120"/>
      <c r="BZ78" s="120"/>
      <c r="CA78" s="120"/>
      <c r="CB78" s="120"/>
      <c r="CC78" s="120"/>
      <c r="CD78" s="120"/>
      <c r="CE78" s="120"/>
      <c r="CF78" s="120"/>
      <c r="CG78" s="120"/>
      <c r="CH78" s="120"/>
      <c r="CI78" s="120"/>
      <c r="CJ78" s="120"/>
      <c r="CK78" s="120"/>
      <c r="CL78" s="120"/>
      <c r="CM78" s="120"/>
      <c r="CN78" s="120"/>
      <c r="CO78" s="120"/>
      <c r="CP78" s="120"/>
      <c r="CQ78" s="120"/>
      <c r="CR78" s="120"/>
      <c r="CS78" s="120"/>
      <c r="CT78" s="120"/>
      <c r="CU78" s="120"/>
      <c r="CV78" s="120"/>
      <c r="CW78" s="120"/>
      <c r="CX78" s="120"/>
    </row>
    <row r="79" spans="3:102" ht="12.75">
      <c r="C79" s="120"/>
      <c r="D79" s="120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20"/>
      <c r="AV79" s="120"/>
      <c r="AW79" s="120"/>
      <c r="AX79" s="120"/>
      <c r="AY79" s="120"/>
      <c r="AZ79" s="120"/>
      <c r="BA79" s="120"/>
      <c r="BB79" s="120"/>
      <c r="BC79" s="120"/>
      <c r="BD79" s="120"/>
      <c r="BE79" s="120"/>
      <c r="BF79" s="120"/>
      <c r="BG79" s="120"/>
      <c r="BH79" s="120"/>
      <c r="BI79" s="120"/>
      <c r="BJ79" s="120"/>
      <c r="BL79" s="120"/>
      <c r="BM79" s="120"/>
      <c r="BN79" s="120"/>
      <c r="BO79" s="120"/>
      <c r="BP79" s="120"/>
      <c r="BQ79" s="120"/>
      <c r="BR79" s="120"/>
      <c r="BS79" s="120"/>
      <c r="BT79" s="120"/>
      <c r="BU79" s="120"/>
      <c r="BV79" s="120"/>
      <c r="BW79" s="120"/>
      <c r="BX79" s="120"/>
      <c r="BY79" s="120"/>
      <c r="BZ79" s="120"/>
      <c r="CA79" s="120"/>
      <c r="CB79" s="120"/>
      <c r="CC79" s="120"/>
      <c r="CD79" s="120"/>
      <c r="CE79" s="120"/>
      <c r="CF79" s="120"/>
      <c r="CG79" s="120"/>
      <c r="CH79" s="120"/>
      <c r="CI79" s="120"/>
      <c r="CJ79" s="120"/>
      <c r="CK79" s="120"/>
      <c r="CL79" s="120"/>
      <c r="CM79" s="120"/>
      <c r="CN79" s="120"/>
      <c r="CO79" s="120"/>
      <c r="CP79" s="120"/>
      <c r="CQ79" s="120"/>
      <c r="CR79" s="120"/>
      <c r="CS79" s="120"/>
      <c r="CT79" s="120"/>
      <c r="CU79" s="120"/>
      <c r="CV79" s="120"/>
      <c r="CW79" s="120"/>
      <c r="CX79" s="120"/>
    </row>
    <row r="80" spans="3:102" ht="12.75">
      <c r="C80" s="120"/>
      <c r="D80" s="120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20"/>
      <c r="AM80" s="120"/>
      <c r="AN80" s="120"/>
      <c r="AO80" s="120"/>
      <c r="AP80" s="120"/>
      <c r="AQ80" s="120"/>
      <c r="AR80" s="120"/>
      <c r="AS80" s="120"/>
      <c r="AT80" s="120"/>
      <c r="AU80" s="120"/>
      <c r="AV80" s="120"/>
      <c r="AW80" s="120"/>
      <c r="AX80" s="120"/>
      <c r="AY80" s="120"/>
      <c r="AZ80" s="120"/>
      <c r="BA80" s="120"/>
      <c r="BB80" s="120"/>
      <c r="BC80" s="120"/>
      <c r="BD80" s="120"/>
      <c r="BE80" s="120"/>
      <c r="BF80" s="120"/>
      <c r="BG80" s="120"/>
      <c r="BH80" s="120"/>
      <c r="BI80" s="120"/>
      <c r="BJ80" s="120"/>
      <c r="BL80" s="120"/>
      <c r="BM80" s="120"/>
      <c r="BN80" s="120"/>
      <c r="BO80" s="120"/>
      <c r="BP80" s="120"/>
      <c r="BQ80" s="120"/>
      <c r="BR80" s="120"/>
      <c r="BS80" s="120"/>
      <c r="BT80" s="120"/>
      <c r="BU80" s="120"/>
      <c r="BV80" s="120"/>
      <c r="BW80" s="120"/>
      <c r="BX80" s="120"/>
      <c r="BY80" s="120"/>
      <c r="BZ80" s="120"/>
      <c r="CA80" s="120"/>
      <c r="CB80" s="120"/>
      <c r="CC80" s="120"/>
      <c r="CD80" s="120"/>
      <c r="CE80" s="120"/>
      <c r="CF80" s="120"/>
      <c r="CG80" s="120"/>
      <c r="CH80" s="120"/>
      <c r="CI80" s="120"/>
      <c r="CJ80" s="120"/>
      <c r="CK80" s="120"/>
      <c r="CL80" s="120"/>
      <c r="CM80" s="120"/>
      <c r="CN80" s="120"/>
      <c r="CO80" s="120"/>
      <c r="CP80" s="120"/>
      <c r="CQ80" s="120"/>
      <c r="CR80" s="120"/>
      <c r="CS80" s="120"/>
      <c r="CT80" s="120"/>
      <c r="CU80" s="120"/>
      <c r="CV80" s="120"/>
      <c r="CW80" s="120"/>
      <c r="CX80" s="120"/>
    </row>
    <row r="81" spans="3:102" ht="12.75">
      <c r="C81" s="120"/>
      <c r="D81" s="120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20"/>
      <c r="AM81" s="120"/>
      <c r="AN81" s="120"/>
      <c r="AO81" s="120"/>
      <c r="AP81" s="120"/>
      <c r="AQ81" s="120"/>
      <c r="AR81" s="120"/>
      <c r="AS81" s="120"/>
      <c r="AT81" s="120"/>
      <c r="AU81" s="120"/>
      <c r="AV81" s="120"/>
      <c r="AW81" s="120"/>
      <c r="AX81" s="120"/>
      <c r="AY81" s="120"/>
      <c r="AZ81" s="120"/>
      <c r="BA81" s="120"/>
      <c r="BB81" s="120"/>
      <c r="BC81" s="120"/>
      <c r="BD81" s="120"/>
      <c r="BE81" s="120"/>
      <c r="BF81" s="120"/>
      <c r="BG81" s="120"/>
      <c r="BH81" s="120"/>
      <c r="BI81" s="120"/>
      <c r="BJ81" s="120"/>
      <c r="BL81" s="120"/>
      <c r="BM81" s="120"/>
      <c r="BN81" s="120"/>
      <c r="BO81" s="120"/>
      <c r="BP81" s="120"/>
      <c r="BQ81" s="120"/>
      <c r="BR81" s="120"/>
      <c r="BS81" s="120"/>
      <c r="BT81" s="120"/>
      <c r="BU81" s="120"/>
      <c r="BV81" s="120"/>
      <c r="BW81" s="120"/>
      <c r="BX81" s="120"/>
      <c r="BY81" s="120"/>
      <c r="BZ81" s="120"/>
      <c r="CA81" s="120"/>
      <c r="CB81" s="120"/>
      <c r="CC81" s="120"/>
      <c r="CD81" s="120"/>
      <c r="CE81" s="120"/>
      <c r="CF81" s="120"/>
      <c r="CG81" s="120"/>
      <c r="CH81" s="120"/>
      <c r="CI81" s="120"/>
      <c r="CJ81" s="120"/>
      <c r="CK81" s="120"/>
      <c r="CL81" s="120"/>
      <c r="CM81" s="120"/>
      <c r="CN81" s="120"/>
      <c r="CO81" s="120"/>
      <c r="CP81" s="120"/>
      <c r="CQ81" s="120"/>
      <c r="CR81" s="120"/>
      <c r="CS81" s="120"/>
      <c r="CT81" s="120"/>
      <c r="CU81" s="120"/>
      <c r="CV81" s="120"/>
      <c r="CW81" s="120"/>
      <c r="CX81" s="120"/>
    </row>
    <row r="82" spans="3:102" ht="12.75">
      <c r="C82" s="120"/>
      <c r="D82" s="120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0"/>
      <c r="AK82" s="120"/>
      <c r="AL82" s="120"/>
      <c r="AM82" s="120"/>
      <c r="AN82" s="120"/>
      <c r="AO82" s="120"/>
      <c r="AP82" s="120"/>
      <c r="AQ82" s="120"/>
      <c r="AR82" s="120"/>
      <c r="AS82" s="120"/>
      <c r="AT82" s="120"/>
      <c r="AU82" s="120"/>
      <c r="AV82" s="120"/>
      <c r="AW82" s="120"/>
      <c r="AX82" s="120"/>
      <c r="AY82" s="120"/>
      <c r="AZ82" s="120"/>
      <c r="BA82" s="120"/>
      <c r="BB82" s="120"/>
      <c r="BC82" s="120"/>
      <c r="BD82" s="120"/>
      <c r="BE82" s="120"/>
      <c r="BF82" s="120"/>
      <c r="BG82" s="120"/>
      <c r="BH82" s="120"/>
      <c r="BI82" s="120"/>
      <c r="BJ82" s="120"/>
      <c r="BL82" s="120"/>
      <c r="BM82" s="120"/>
      <c r="BN82" s="120"/>
      <c r="BO82" s="120"/>
      <c r="BP82" s="120"/>
      <c r="BQ82" s="120"/>
      <c r="BR82" s="120"/>
      <c r="BS82" s="120"/>
      <c r="BT82" s="120"/>
      <c r="BU82" s="120"/>
      <c r="BV82" s="120"/>
      <c r="BW82" s="120"/>
      <c r="BX82" s="120"/>
      <c r="BY82" s="120"/>
      <c r="BZ82" s="120"/>
      <c r="CA82" s="120"/>
      <c r="CB82" s="120"/>
      <c r="CC82" s="120"/>
      <c r="CD82" s="120"/>
      <c r="CE82" s="120"/>
      <c r="CF82" s="120"/>
      <c r="CG82" s="120"/>
      <c r="CH82" s="120"/>
      <c r="CI82" s="120"/>
      <c r="CJ82" s="120"/>
      <c r="CK82" s="120"/>
      <c r="CL82" s="120"/>
      <c r="CM82" s="120"/>
      <c r="CN82" s="120"/>
      <c r="CO82" s="120"/>
      <c r="CP82" s="120"/>
      <c r="CQ82" s="120"/>
      <c r="CR82" s="120"/>
      <c r="CS82" s="120"/>
      <c r="CT82" s="120"/>
      <c r="CU82" s="120"/>
      <c r="CV82" s="120"/>
      <c r="CW82" s="120"/>
      <c r="CX82" s="120"/>
    </row>
    <row r="83" spans="3:102" ht="12.75">
      <c r="C83" s="120"/>
      <c r="D83" s="120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120"/>
      <c r="T83" s="120"/>
      <c r="U83" s="120"/>
      <c r="V83" s="120"/>
      <c r="W83" s="120"/>
      <c r="X83" s="120"/>
      <c r="Y83" s="120"/>
      <c r="Z83" s="120"/>
      <c r="AA83" s="120"/>
      <c r="AB83" s="120"/>
      <c r="AC83" s="120"/>
      <c r="AD83" s="120"/>
      <c r="AE83" s="120"/>
      <c r="AF83" s="120"/>
      <c r="AG83" s="120"/>
      <c r="AH83" s="120"/>
      <c r="AI83" s="120"/>
      <c r="AJ83" s="120"/>
      <c r="AK83" s="120"/>
      <c r="AL83" s="120"/>
      <c r="AM83" s="120"/>
      <c r="AN83" s="120"/>
      <c r="AO83" s="120"/>
      <c r="AP83" s="120"/>
      <c r="AQ83" s="120"/>
      <c r="AR83" s="120"/>
      <c r="AS83" s="120"/>
      <c r="AT83" s="120"/>
      <c r="AU83" s="120"/>
      <c r="AV83" s="120"/>
      <c r="AW83" s="120"/>
      <c r="AX83" s="120"/>
      <c r="AY83" s="120"/>
      <c r="AZ83" s="120"/>
      <c r="BA83" s="120"/>
      <c r="BB83" s="120"/>
      <c r="BC83" s="120"/>
      <c r="BD83" s="120"/>
      <c r="BE83" s="120"/>
      <c r="BF83" s="120"/>
      <c r="BG83" s="120"/>
      <c r="BH83" s="120"/>
      <c r="BI83" s="120"/>
      <c r="BJ83" s="120"/>
      <c r="BL83" s="120"/>
      <c r="BM83" s="120"/>
      <c r="BN83" s="120"/>
      <c r="BO83" s="120"/>
      <c r="BP83" s="120"/>
      <c r="BQ83" s="120"/>
      <c r="BR83" s="120"/>
      <c r="BS83" s="120"/>
      <c r="BT83" s="120"/>
      <c r="BU83" s="120"/>
      <c r="BV83" s="120"/>
      <c r="BW83" s="120"/>
      <c r="BX83" s="120"/>
      <c r="BY83" s="120"/>
      <c r="BZ83" s="120"/>
      <c r="CA83" s="120"/>
      <c r="CB83" s="120"/>
      <c r="CC83" s="120"/>
      <c r="CD83" s="120"/>
      <c r="CE83" s="120"/>
      <c r="CF83" s="120"/>
      <c r="CG83" s="120"/>
      <c r="CH83" s="120"/>
      <c r="CI83" s="120"/>
      <c r="CJ83" s="120"/>
      <c r="CK83" s="120"/>
      <c r="CL83" s="120"/>
      <c r="CM83" s="120"/>
      <c r="CN83" s="120"/>
      <c r="CO83" s="120"/>
      <c r="CP83" s="120"/>
      <c r="CQ83" s="120"/>
      <c r="CR83" s="120"/>
      <c r="CS83" s="120"/>
      <c r="CT83" s="120"/>
      <c r="CU83" s="120"/>
      <c r="CV83" s="120"/>
      <c r="CW83" s="120"/>
      <c r="CX83" s="120"/>
    </row>
    <row r="84" spans="3:102" ht="12.75">
      <c r="C84" s="120"/>
      <c r="D84" s="120"/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  <c r="AL84" s="120"/>
      <c r="AM84" s="120"/>
      <c r="AN84" s="120"/>
      <c r="AO84" s="120"/>
      <c r="AP84" s="120"/>
      <c r="AQ84" s="120"/>
      <c r="AR84" s="120"/>
      <c r="AS84" s="120"/>
      <c r="AT84" s="120"/>
      <c r="AU84" s="120"/>
      <c r="AV84" s="120"/>
      <c r="AW84" s="120"/>
      <c r="AX84" s="120"/>
      <c r="AY84" s="120"/>
      <c r="AZ84" s="120"/>
      <c r="BA84" s="120"/>
      <c r="BB84" s="120"/>
      <c r="BC84" s="120"/>
      <c r="BD84" s="120"/>
      <c r="BE84" s="120"/>
      <c r="BF84" s="120"/>
      <c r="BG84" s="120"/>
      <c r="BH84" s="120"/>
      <c r="BI84" s="120"/>
      <c r="BJ84" s="120"/>
      <c r="BL84" s="120"/>
      <c r="BM84" s="120"/>
      <c r="BN84" s="120"/>
      <c r="BO84" s="120"/>
      <c r="BP84" s="120"/>
      <c r="BQ84" s="120"/>
      <c r="BR84" s="120"/>
      <c r="BS84" s="120"/>
      <c r="BT84" s="120"/>
      <c r="BU84" s="120"/>
      <c r="BV84" s="120"/>
      <c r="BW84" s="120"/>
      <c r="BX84" s="120"/>
      <c r="BY84" s="120"/>
      <c r="BZ84" s="120"/>
      <c r="CA84" s="120"/>
      <c r="CB84" s="120"/>
      <c r="CC84" s="120"/>
      <c r="CD84" s="120"/>
      <c r="CE84" s="120"/>
      <c r="CF84" s="120"/>
      <c r="CG84" s="120"/>
      <c r="CH84" s="120"/>
      <c r="CI84" s="120"/>
      <c r="CJ84" s="120"/>
      <c r="CK84" s="120"/>
      <c r="CL84" s="120"/>
      <c r="CM84" s="120"/>
      <c r="CN84" s="120"/>
      <c r="CO84" s="120"/>
      <c r="CP84" s="120"/>
      <c r="CQ84" s="120"/>
      <c r="CR84" s="120"/>
      <c r="CS84" s="120"/>
      <c r="CT84" s="120"/>
      <c r="CU84" s="120"/>
      <c r="CV84" s="120"/>
      <c r="CW84" s="120"/>
      <c r="CX84" s="120"/>
    </row>
    <row r="85" spans="3:102" ht="12.75">
      <c r="C85" s="120"/>
      <c r="D85" s="120"/>
      <c r="E85" s="120"/>
      <c r="F85" s="120"/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  <c r="S85" s="120"/>
      <c r="T85" s="120"/>
      <c r="U85" s="120"/>
      <c r="V85" s="120"/>
      <c r="W85" s="120"/>
      <c r="X85" s="120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  <c r="AL85" s="120"/>
      <c r="AM85" s="120"/>
      <c r="AN85" s="120"/>
      <c r="AO85" s="120"/>
      <c r="AP85" s="120"/>
      <c r="AQ85" s="120"/>
      <c r="AR85" s="120"/>
      <c r="AS85" s="120"/>
      <c r="AT85" s="120"/>
      <c r="AU85" s="120"/>
      <c r="AV85" s="120"/>
      <c r="AW85" s="120"/>
      <c r="AX85" s="120"/>
      <c r="AY85" s="120"/>
      <c r="AZ85" s="120"/>
      <c r="BA85" s="120"/>
      <c r="BB85" s="120"/>
      <c r="BC85" s="120"/>
      <c r="BD85" s="120"/>
      <c r="BE85" s="120"/>
      <c r="BF85" s="120"/>
      <c r="BG85" s="120"/>
      <c r="BH85" s="120"/>
      <c r="BI85" s="120"/>
      <c r="BJ85" s="120"/>
      <c r="BL85" s="120"/>
      <c r="BM85" s="120"/>
      <c r="BN85" s="120"/>
      <c r="BO85" s="120"/>
      <c r="BP85" s="120"/>
      <c r="BQ85" s="120"/>
      <c r="BR85" s="120"/>
      <c r="BS85" s="120"/>
      <c r="BT85" s="120"/>
      <c r="BU85" s="120"/>
      <c r="BV85" s="120"/>
      <c r="BW85" s="120"/>
      <c r="BX85" s="120"/>
      <c r="BY85" s="120"/>
      <c r="BZ85" s="120"/>
      <c r="CA85" s="120"/>
      <c r="CB85" s="120"/>
      <c r="CC85" s="120"/>
      <c r="CD85" s="120"/>
      <c r="CE85" s="120"/>
      <c r="CF85" s="120"/>
      <c r="CG85" s="120"/>
      <c r="CH85" s="120"/>
      <c r="CI85" s="120"/>
      <c r="CJ85" s="120"/>
      <c r="CK85" s="120"/>
      <c r="CL85" s="120"/>
      <c r="CM85" s="120"/>
      <c r="CN85" s="120"/>
      <c r="CO85" s="120"/>
      <c r="CP85" s="120"/>
      <c r="CQ85" s="120"/>
      <c r="CR85" s="120"/>
      <c r="CS85" s="120"/>
      <c r="CT85" s="120"/>
      <c r="CU85" s="120"/>
      <c r="CV85" s="120"/>
      <c r="CW85" s="120"/>
      <c r="CX85" s="120"/>
    </row>
    <row r="86" spans="3:102" ht="12.75">
      <c r="C86" s="120"/>
      <c r="D86" s="120"/>
      <c r="E86" s="120"/>
      <c r="F86" s="120"/>
      <c r="G86" s="120"/>
      <c r="H86" s="120"/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120"/>
      <c r="U86" s="120"/>
      <c r="V86" s="120"/>
      <c r="W86" s="120"/>
      <c r="X86" s="120"/>
      <c r="Y86" s="120"/>
      <c r="Z86" s="120"/>
      <c r="AA86" s="120"/>
      <c r="AB86" s="120"/>
      <c r="AC86" s="120"/>
      <c r="AD86" s="120"/>
      <c r="AE86" s="120"/>
      <c r="AF86" s="120"/>
      <c r="AG86" s="120"/>
      <c r="AH86" s="120"/>
      <c r="AI86" s="120"/>
      <c r="AJ86" s="120"/>
      <c r="AK86" s="120"/>
      <c r="AL86" s="120"/>
      <c r="AM86" s="120"/>
      <c r="AN86" s="120"/>
      <c r="AO86" s="120"/>
      <c r="AP86" s="120"/>
      <c r="AQ86" s="120"/>
      <c r="AR86" s="120"/>
      <c r="AS86" s="120"/>
      <c r="AT86" s="120"/>
      <c r="AU86" s="120"/>
      <c r="AV86" s="120"/>
      <c r="AW86" s="120"/>
      <c r="AX86" s="120"/>
      <c r="AY86" s="120"/>
      <c r="AZ86" s="120"/>
      <c r="BA86" s="120"/>
      <c r="BB86" s="120"/>
      <c r="BC86" s="120"/>
      <c r="BD86" s="120"/>
      <c r="BE86" s="120"/>
      <c r="BF86" s="120"/>
      <c r="BG86" s="120"/>
      <c r="BH86" s="120"/>
      <c r="BI86" s="120"/>
      <c r="BJ86" s="120"/>
      <c r="BL86" s="120"/>
      <c r="BM86" s="120"/>
      <c r="BN86" s="120"/>
      <c r="BO86" s="120"/>
      <c r="BP86" s="120"/>
      <c r="BQ86" s="120"/>
      <c r="BR86" s="120"/>
      <c r="BS86" s="120"/>
      <c r="BT86" s="120"/>
      <c r="BU86" s="120"/>
      <c r="BV86" s="120"/>
      <c r="BW86" s="120"/>
      <c r="BX86" s="120"/>
      <c r="BY86" s="120"/>
      <c r="BZ86" s="120"/>
      <c r="CA86" s="120"/>
      <c r="CB86" s="120"/>
      <c r="CC86" s="120"/>
      <c r="CD86" s="120"/>
      <c r="CE86" s="120"/>
      <c r="CF86" s="120"/>
      <c r="CG86" s="120"/>
      <c r="CH86" s="120"/>
      <c r="CI86" s="120"/>
      <c r="CJ86" s="120"/>
      <c r="CK86" s="120"/>
      <c r="CL86" s="120"/>
      <c r="CM86" s="120"/>
      <c r="CN86" s="120"/>
      <c r="CO86" s="120"/>
      <c r="CP86" s="120"/>
      <c r="CQ86" s="120"/>
      <c r="CR86" s="120"/>
      <c r="CS86" s="120"/>
      <c r="CT86" s="120"/>
      <c r="CU86" s="120"/>
      <c r="CV86" s="120"/>
      <c r="CW86" s="120"/>
      <c r="CX86" s="120"/>
    </row>
    <row r="87" spans="3:102" ht="12.75">
      <c r="C87" s="120"/>
      <c r="D87" s="120"/>
      <c r="E87" s="120"/>
      <c r="F87" s="120"/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  <c r="S87" s="120"/>
      <c r="T87" s="120"/>
      <c r="U87" s="120"/>
      <c r="V87" s="120"/>
      <c r="W87" s="120"/>
      <c r="X87" s="120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  <c r="AL87" s="120"/>
      <c r="AM87" s="120"/>
      <c r="AN87" s="120"/>
      <c r="AO87" s="120"/>
      <c r="AP87" s="120"/>
      <c r="AQ87" s="120"/>
      <c r="AR87" s="120"/>
      <c r="AS87" s="120"/>
      <c r="AT87" s="120"/>
      <c r="AU87" s="120"/>
      <c r="AV87" s="120"/>
      <c r="AW87" s="120"/>
      <c r="AX87" s="120"/>
      <c r="AY87" s="120"/>
      <c r="AZ87" s="120"/>
      <c r="BA87" s="120"/>
      <c r="BB87" s="120"/>
      <c r="BC87" s="120"/>
      <c r="BD87" s="120"/>
      <c r="BE87" s="120"/>
      <c r="BF87" s="120"/>
      <c r="BG87" s="120"/>
      <c r="BH87" s="120"/>
      <c r="BI87" s="120"/>
      <c r="BJ87" s="120"/>
      <c r="BL87" s="120"/>
      <c r="BM87" s="120"/>
      <c r="BN87" s="120"/>
      <c r="BO87" s="120"/>
      <c r="BP87" s="120"/>
      <c r="BQ87" s="120"/>
      <c r="BR87" s="120"/>
      <c r="BS87" s="120"/>
      <c r="BT87" s="120"/>
      <c r="BU87" s="120"/>
      <c r="BV87" s="120"/>
      <c r="BW87" s="120"/>
      <c r="BX87" s="120"/>
      <c r="BY87" s="120"/>
      <c r="BZ87" s="120"/>
      <c r="CA87" s="120"/>
      <c r="CB87" s="120"/>
      <c r="CC87" s="120"/>
      <c r="CD87" s="120"/>
      <c r="CE87" s="120"/>
      <c r="CF87" s="120"/>
      <c r="CG87" s="120"/>
      <c r="CH87" s="120"/>
      <c r="CI87" s="120"/>
      <c r="CJ87" s="120"/>
      <c r="CK87" s="120"/>
      <c r="CL87" s="120"/>
      <c r="CM87" s="120"/>
      <c r="CN87" s="120"/>
      <c r="CO87" s="120"/>
      <c r="CP87" s="120"/>
      <c r="CQ87" s="120"/>
      <c r="CR87" s="120"/>
      <c r="CS87" s="120"/>
      <c r="CT87" s="120"/>
      <c r="CU87" s="120"/>
      <c r="CV87" s="120"/>
      <c r="CW87" s="120"/>
      <c r="CX87" s="120"/>
    </row>
    <row r="88" spans="3:102" ht="12.75">
      <c r="C88" s="120"/>
      <c r="D88" s="120"/>
      <c r="E88" s="120"/>
      <c r="F88" s="120"/>
      <c r="G88" s="120"/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  <c r="S88" s="120"/>
      <c r="T88" s="120"/>
      <c r="U88" s="120"/>
      <c r="V88" s="120"/>
      <c r="W88" s="120"/>
      <c r="X88" s="120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  <c r="AL88" s="120"/>
      <c r="AM88" s="120"/>
      <c r="AN88" s="120"/>
      <c r="AO88" s="120"/>
      <c r="AP88" s="120"/>
      <c r="AQ88" s="120"/>
      <c r="AR88" s="120"/>
      <c r="AS88" s="120"/>
      <c r="AT88" s="120"/>
      <c r="AU88" s="120"/>
      <c r="AV88" s="120"/>
      <c r="AW88" s="120"/>
      <c r="AX88" s="120"/>
      <c r="AY88" s="120"/>
      <c r="AZ88" s="120"/>
      <c r="BA88" s="120"/>
      <c r="BB88" s="120"/>
      <c r="BC88" s="120"/>
      <c r="BD88" s="120"/>
      <c r="BE88" s="120"/>
      <c r="BF88" s="120"/>
      <c r="BG88" s="120"/>
      <c r="BH88" s="120"/>
      <c r="BI88" s="120"/>
      <c r="BJ88" s="120"/>
      <c r="BL88" s="120"/>
      <c r="BM88" s="120"/>
      <c r="BN88" s="120"/>
      <c r="BO88" s="120"/>
      <c r="BP88" s="120"/>
      <c r="BQ88" s="120"/>
      <c r="BR88" s="120"/>
      <c r="BS88" s="120"/>
      <c r="BT88" s="120"/>
      <c r="BU88" s="120"/>
      <c r="BV88" s="120"/>
      <c r="BW88" s="120"/>
      <c r="BX88" s="120"/>
      <c r="BY88" s="120"/>
      <c r="BZ88" s="120"/>
      <c r="CA88" s="120"/>
      <c r="CB88" s="120"/>
      <c r="CC88" s="120"/>
      <c r="CD88" s="120"/>
      <c r="CE88" s="120"/>
      <c r="CF88" s="120"/>
      <c r="CG88" s="120"/>
      <c r="CH88" s="120"/>
      <c r="CI88" s="120"/>
      <c r="CJ88" s="120"/>
      <c r="CK88" s="120"/>
      <c r="CL88" s="120"/>
      <c r="CM88" s="120"/>
      <c r="CN88" s="120"/>
      <c r="CO88" s="120"/>
      <c r="CP88" s="120"/>
      <c r="CQ88" s="120"/>
      <c r="CR88" s="120"/>
      <c r="CS88" s="120"/>
      <c r="CT88" s="120"/>
      <c r="CU88" s="120"/>
      <c r="CV88" s="120"/>
      <c r="CW88" s="120"/>
      <c r="CX88" s="120"/>
    </row>
    <row r="89" spans="3:102" ht="12.75">
      <c r="C89" s="120"/>
      <c r="D89" s="120"/>
      <c r="E89" s="120"/>
      <c r="F89" s="120"/>
      <c r="G89" s="120"/>
      <c r="H89" s="120"/>
      <c r="I89" s="120"/>
      <c r="J89" s="120"/>
      <c r="K89" s="120"/>
      <c r="L89" s="120"/>
      <c r="M89" s="120"/>
      <c r="N89" s="120"/>
      <c r="O89" s="120"/>
      <c r="P89" s="120"/>
      <c r="Q89" s="120"/>
      <c r="R89" s="120"/>
      <c r="S89" s="120"/>
      <c r="T89" s="120"/>
      <c r="U89" s="120"/>
      <c r="V89" s="120"/>
      <c r="W89" s="120"/>
      <c r="X89" s="120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20"/>
      <c r="AM89" s="120"/>
      <c r="AN89" s="120"/>
      <c r="AO89" s="120"/>
      <c r="AP89" s="120"/>
      <c r="AQ89" s="120"/>
      <c r="AR89" s="120"/>
      <c r="AS89" s="120"/>
      <c r="AT89" s="120"/>
      <c r="AU89" s="120"/>
      <c r="AV89" s="120"/>
      <c r="AW89" s="120"/>
      <c r="AX89" s="120"/>
      <c r="AY89" s="120"/>
      <c r="AZ89" s="120"/>
      <c r="BA89" s="120"/>
      <c r="BB89" s="120"/>
      <c r="BC89" s="120"/>
      <c r="BD89" s="120"/>
      <c r="BE89" s="120"/>
      <c r="BF89" s="120"/>
      <c r="BG89" s="120"/>
      <c r="BH89" s="120"/>
      <c r="BI89" s="120"/>
      <c r="BJ89" s="120"/>
      <c r="BL89" s="120"/>
      <c r="BM89" s="120"/>
      <c r="BN89" s="120"/>
      <c r="BO89" s="120"/>
      <c r="BP89" s="120"/>
      <c r="BQ89" s="120"/>
      <c r="BR89" s="120"/>
      <c r="BS89" s="120"/>
      <c r="BT89" s="120"/>
      <c r="BU89" s="120"/>
      <c r="BV89" s="120"/>
      <c r="BW89" s="120"/>
      <c r="BX89" s="120"/>
      <c r="BY89" s="120"/>
      <c r="BZ89" s="120"/>
      <c r="CA89" s="120"/>
      <c r="CB89" s="120"/>
      <c r="CC89" s="120"/>
      <c r="CD89" s="120"/>
      <c r="CE89" s="120"/>
      <c r="CF89" s="120"/>
      <c r="CG89" s="120"/>
      <c r="CH89" s="120"/>
      <c r="CI89" s="120"/>
      <c r="CJ89" s="120"/>
      <c r="CK89" s="120"/>
      <c r="CL89" s="120"/>
      <c r="CM89" s="120"/>
      <c r="CN89" s="120"/>
      <c r="CO89" s="120"/>
      <c r="CP89" s="120"/>
      <c r="CQ89" s="120"/>
      <c r="CR89" s="120"/>
      <c r="CS89" s="120"/>
      <c r="CT89" s="120"/>
      <c r="CU89" s="120"/>
      <c r="CV89" s="120"/>
      <c r="CW89" s="120"/>
      <c r="CX89" s="120"/>
    </row>
    <row r="90" spans="3:102" ht="12.75">
      <c r="C90" s="120"/>
      <c r="D90" s="120"/>
      <c r="E90" s="120"/>
      <c r="F90" s="120"/>
      <c r="G90" s="120"/>
      <c r="H90" s="120"/>
      <c r="I90" s="120"/>
      <c r="J90" s="120"/>
      <c r="K90" s="120"/>
      <c r="L90" s="120"/>
      <c r="M90" s="120"/>
      <c r="N90" s="120"/>
      <c r="O90" s="120"/>
      <c r="P90" s="120"/>
      <c r="Q90" s="120"/>
      <c r="R90" s="120"/>
      <c r="S90" s="120"/>
      <c r="T90" s="120"/>
      <c r="U90" s="120"/>
      <c r="V90" s="120"/>
      <c r="W90" s="120"/>
      <c r="X90" s="120"/>
      <c r="Y90" s="120"/>
      <c r="Z90" s="120"/>
      <c r="AA90" s="120"/>
      <c r="AB90" s="120"/>
      <c r="AC90" s="120"/>
      <c r="AD90" s="120"/>
      <c r="AE90" s="120"/>
      <c r="AF90" s="120"/>
      <c r="AG90" s="120"/>
      <c r="AH90" s="120"/>
      <c r="AI90" s="120"/>
      <c r="AJ90" s="120"/>
      <c r="AK90" s="120"/>
      <c r="AL90" s="120"/>
      <c r="AM90" s="120"/>
      <c r="AN90" s="120"/>
      <c r="AO90" s="120"/>
      <c r="AP90" s="120"/>
      <c r="AQ90" s="120"/>
      <c r="AR90" s="120"/>
      <c r="AS90" s="120"/>
      <c r="AT90" s="120"/>
      <c r="AU90" s="120"/>
      <c r="AV90" s="120"/>
      <c r="AW90" s="120"/>
      <c r="AX90" s="120"/>
      <c r="AY90" s="120"/>
      <c r="AZ90" s="120"/>
      <c r="BA90" s="120"/>
      <c r="BB90" s="120"/>
      <c r="BC90" s="120"/>
      <c r="BD90" s="120"/>
      <c r="BE90" s="120"/>
      <c r="BF90" s="120"/>
      <c r="BG90" s="120"/>
      <c r="BH90" s="120"/>
      <c r="BI90" s="120"/>
      <c r="BJ90" s="120"/>
      <c r="BL90" s="120"/>
      <c r="BM90" s="120"/>
      <c r="BN90" s="120"/>
      <c r="BO90" s="120"/>
      <c r="BP90" s="120"/>
      <c r="BQ90" s="120"/>
      <c r="BR90" s="120"/>
      <c r="BS90" s="120"/>
      <c r="BT90" s="120"/>
      <c r="BU90" s="120"/>
      <c r="BV90" s="120"/>
      <c r="BW90" s="120"/>
      <c r="BX90" s="120"/>
      <c r="BY90" s="120"/>
      <c r="BZ90" s="120"/>
      <c r="CA90" s="120"/>
      <c r="CB90" s="120"/>
      <c r="CC90" s="120"/>
      <c r="CD90" s="120"/>
      <c r="CE90" s="120"/>
      <c r="CF90" s="120"/>
      <c r="CG90" s="120"/>
      <c r="CH90" s="120"/>
      <c r="CI90" s="120"/>
      <c r="CJ90" s="120"/>
      <c r="CK90" s="120"/>
      <c r="CL90" s="120"/>
      <c r="CM90" s="120"/>
      <c r="CN90" s="120"/>
      <c r="CO90" s="120"/>
      <c r="CP90" s="120"/>
      <c r="CQ90" s="120"/>
      <c r="CR90" s="120"/>
      <c r="CS90" s="120"/>
      <c r="CT90" s="120"/>
      <c r="CU90" s="120"/>
      <c r="CV90" s="120"/>
      <c r="CW90" s="120"/>
      <c r="CX90" s="120"/>
    </row>
    <row r="91" spans="3:102" ht="12.75">
      <c r="C91" s="120"/>
      <c r="D91" s="120"/>
      <c r="E91" s="120"/>
      <c r="F91" s="120"/>
      <c r="G91" s="120"/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120"/>
      <c r="T91" s="120"/>
      <c r="U91" s="120"/>
      <c r="V91" s="120"/>
      <c r="W91" s="120"/>
      <c r="X91" s="120"/>
      <c r="Y91" s="120"/>
      <c r="Z91" s="120"/>
      <c r="AA91" s="120"/>
      <c r="AB91" s="120"/>
      <c r="AC91" s="120"/>
      <c r="AD91" s="120"/>
      <c r="AE91" s="120"/>
      <c r="AF91" s="120"/>
      <c r="AG91" s="120"/>
      <c r="AH91" s="120"/>
      <c r="AI91" s="120"/>
      <c r="AJ91" s="120"/>
      <c r="AK91" s="120"/>
      <c r="AL91" s="120"/>
      <c r="AM91" s="120"/>
      <c r="AN91" s="120"/>
      <c r="AO91" s="120"/>
      <c r="AP91" s="120"/>
      <c r="AQ91" s="120"/>
      <c r="AR91" s="120"/>
      <c r="AS91" s="120"/>
      <c r="AT91" s="120"/>
      <c r="AU91" s="120"/>
      <c r="AV91" s="120"/>
      <c r="AW91" s="120"/>
      <c r="AX91" s="120"/>
      <c r="AY91" s="120"/>
      <c r="AZ91" s="120"/>
      <c r="BA91" s="120"/>
      <c r="BB91" s="120"/>
      <c r="BC91" s="120"/>
      <c r="BD91" s="120"/>
      <c r="BE91" s="120"/>
      <c r="BF91" s="120"/>
      <c r="BG91" s="120"/>
      <c r="BH91" s="120"/>
      <c r="BI91" s="120"/>
      <c r="BJ91" s="120"/>
      <c r="BL91" s="120"/>
      <c r="BM91" s="120"/>
      <c r="BN91" s="120"/>
      <c r="BO91" s="120"/>
      <c r="BP91" s="120"/>
      <c r="BQ91" s="120"/>
      <c r="BR91" s="120"/>
      <c r="BS91" s="120"/>
      <c r="BT91" s="120"/>
      <c r="BU91" s="120"/>
      <c r="BV91" s="120"/>
      <c r="BW91" s="120"/>
      <c r="BX91" s="120"/>
      <c r="BY91" s="120"/>
      <c r="BZ91" s="120"/>
      <c r="CA91" s="120"/>
      <c r="CB91" s="120"/>
      <c r="CC91" s="120"/>
      <c r="CD91" s="120"/>
      <c r="CE91" s="120"/>
      <c r="CF91" s="120"/>
      <c r="CG91" s="120"/>
      <c r="CH91" s="120"/>
      <c r="CI91" s="120"/>
      <c r="CJ91" s="120"/>
      <c r="CK91" s="120"/>
      <c r="CL91" s="120"/>
      <c r="CM91" s="120"/>
      <c r="CN91" s="120"/>
      <c r="CO91" s="120"/>
      <c r="CP91" s="120"/>
      <c r="CQ91" s="120"/>
      <c r="CR91" s="120"/>
      <c r="CS91" s="120"/>
      <c r="CT91" s="120"/>
      <c r="CU91" s="120"/>
      <c r="CV91" s="120"/>
      <c r="CW91" s="120"/>
      <c r="CX91" s="120"/>
    </row>
  </sheetData>
  <sheetProtection/>
  <printOptions/>
  <pageMargins left="0.6692913385826772" right="0.62" top="1.14" bottom="0.81" header="0.53" footer="0.5118110236220472"/>
  <pageSetup horizontalDpi="600" verticalDpi="600" orientation="portrait" paperSize="9" r:id="rId1"/>
  <headerFooter alignWithMargins="0">
    <oddHeader>&amp;C&amp;"Times New Roman,Bold"&amp;14 3.4. KENNITÖLUR ÁRIÐ 1999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A107"/>
  <sheetViews>
    <sheetView zoomScalePageLayoutView="0" workbookViewId="0" topLeftCell="A1">
      <pane xSplit="3615" ySplit="1260" topLeftCell="Z28" activePane="bottomRight" state="split"/>
      <selection pane="topLeft" activeCell="A4" sqref="A4:E7"/>
      <selection pane="topRight" activeCell="B1" sqref="B1:BI3"/>
      <selection pane="bottomLeft" activeCell="A59" sqref="A59"/>
      <selection pane="bottomRight" activeCell="AE39" sqref="AE39"/>
    </sheetView>
  </sheetViews>
  <sheetFormatPr defaultColWidth="9.00390625" defaultRowHeight="12.75"/>
  <cols>
    <col min="1" max="1" width="25.75390625" style="0" customWidth="1"/>
    <col min="63" max="63" width="9.625" style="0" customWidth="1"/>
    <col min="64" max="64" width="3.125" style="0" customWidth="1"/>
    <col min="65" max="65" width="10.50390625" style="0" customWidth="1"/>
    <col min="66" max="66" width="10.375" style="0" customWidth="1"/>
    <col min="67" max="67" width="3.25390625" style="0" customWidth="1"/>
  </cols>
  <sheetData>
    <row r="1" spans="1:68" ht="12.75">
      <c r="A1" s="83"/>
      <c r="B1" s="52" t="s">
        <v>0</v>
      </c>
      <c r="C1" s="52" t="s">
        <v>0</v>
      </c>
      <c r="D1" s="52" t="s">
        <v>0</v>
      </c>
      <c r="E1" s="52" t="s">
        <v>1</v>
      </c>
      <c r="F1" s="52" t="s">
        <v>0</v>
      </c>
      <c r="G1" s="52" t="s">
        <v>0</v>
      </c>
      <c r="H1" s="52" t="s">
        <v>2</v>
      </c>
      <c r="I1" s="52" t="s">
        <v>0</v>
      </c>
      <c r="J1" s="52" t="s">
        <v>3</v>
      </c>
      <c r="K1" s="52" t="s">
        <v>0</v>
      </c>
      <c r="L1" s="52" t="s">
        <v>0</v>
      </c>
      <c r="M1" s="52" t="s">
        <v>0</v>
      </c>
      <c r="N1" s="52" t="s">
        <v>0</v>
      </c>
      <c r="O1" s="52" t="s">
        <v>0</v>
      </c>
      <c r="P1" s="53" t="s">
        <v>0</v>
      </c>
      <c r="Q1" s="52" t="s">
        <v>0</v>
      </c>
      <c r="R1" s="52" t="s">
        <v>0</v>
      </c>
      <c r="S1" s="52" t="s">
        <v>5</v>
      </c>
      <c r="T1" s="52" t="s">
        <v>0</v>
      </c>
      <c r="U1" s="52" t="s">
        <v>7</v>
      </c>
      <c r="V1" s="52" t="s">
        <v>0</v>
      </c>
      <c r="W1" s="52" t="s">
        <v>418</v>
      </c>
      <c r="X1" s="52" t="s">
        <v>0</v>
      </c>
      <c r="Y1" s="52" t="s">
        <v>6</v>
      </c>
      <c r="Z1" s="52" t="s">
        <v>0</v>
      </c>
      <c r="AA1" s="52" t="s">
        <v>0</v>
      </c>
      <c r="AB1" s="52" t="s">
        <v>8</v>
      </c>
      <c r="AC1" s="52" t="s">
        <v>0</v>
      </c>
      <c r="AD1" s="52" t="s">
        <v>0</v>
      </c>
      <c r="AE1" s="52" t="s">
        <v>6</v>
      </c>
      <c r="AF1" s="52" t="s">
        <v>0</v>
      </c>
      <c r="AG1" s="52" t="s">
        <v>0</v>
      </c>
      <c r="AH1" s="52" t="s">
        <v>4</v>
      </c>
      <c r="AI1" s="52" t="s">
        <v>0</v>
      </c>
      <c r="AJ1" s="52" t="s">
        <v>0</v>
      </c>
      <c r="AK1" s="52" t="s">
        <v>0</v>
      </c>
      <c r="AL1" s="52" t="s">
        <v>0</v>
      </c>
      <c r="AM1" s="52" t="s">
        <v>4</v>
      </c>
      <c r="AN1" s="52" t="s">
        <v>0</v>
      </c>
      <c r="AO1" s="52" t="s">
        <v>0</v>
      </c>
      <c r="AP1" s="52" t="s">
        <v>4</v>
      </c>
      <c r="AQ1" s="52" t="s">
        <v>0</v>
      </c>
      <c r="AR1" s="52" t="s">
        <v>54</v>
      </c>
      <c r="AS1" s="52" t="s">
        <v>0</v>
      </c>
      <c r="AT1" s="52" t="s">
        <v>0</v>
      </c>
      <c r="AU1" s="52" t="s">
        <v>0</v>
      </c>
      <c r="AV1" s="52" t="s">
        <v>4</v>
      </c>
      <c r="AW1" s="52" t="s">
        <v>0</v>
      </c>
      <c r="AX1" s="52" t="s">
        <v>4</v>
      </c>
      <c r="AY1" s="52" t="s">
        <v>0</v>
      </c>
      <c r="AZ1" s="52" t="s">
        <v>4</v>
      </c>
      <c r="BA1" s="52" t="s">
        <v>6</v>
      </c>
      <c r="BB1" s="52" t="s">
        <v>0</v>
      </c>
      <c r="BC1" s="52" t="s">
        <v>0</v>
      </c>
      <c r="BD1" s="52" t="s">
        <v>0</v>
      </c>
      <c r="BE1" s="52" t="s">
        <v>4</v>
      </c>
      <c r="BF1" s="52" t="s">
        <v>9</v>
      </c>
      <c r="BG1" s="52" t="s">
        <v>0</v>
      </c>
      <c r="BH1" s="52" t="s">
        <v>0</v>
      </c>
      <c r="BI1" s="52" t="s">
        <v>0</v>
      </c>
      <c r="BK1" s="27" t="s">
        <v>10</v>
      </c>
      <c r="BL1" s="27"/>
      <c r="BM1" s="56" t="s">
        <v>0</v>
      </c>
      <c r="BN1" s="56" t="s">
        <v>0</v>
      </c>
      <c r="BO1" s="27"/>
      <c r="BP1" s="27"/>
    </row>
    <row r="2" spans="1:68" ht="12.75">
      <c r="A2" s="22" t="s">
        <v>11</v>
      </c>
      <c r="B2" s="52" t="s">
        <v>12</v>
      </c>
      <c r="C2" s="52" t="s">
        <v>14</v>
      </c>
      <c r="D2" s="52" t="s">
        <v>16</v>
      </c>
      <c r="E2" s="52" t="s">
        <v>15</v>
      </c>
      <c r="F2" s="52" t="s">
        <v>13</v>
      </c>
      <c r="G2" s="52" t="s">
        <v>17</v>
      </c>
      <c r="H2" s="52" t="s">
        <v>15</v>
      </c>
      <c r="I2" s="52" t="s">
        <v>431</v>
      </c>
      <c r="J2" s="52" t="s">
        <v>15</v>
      </c>
      <c r="K2" s="52" t="s">
        <v>352</v>
      </c>
      <c r="L2" s="52" t="s">
        <v>19</v>
      </c>
      <c r="M2" s="52" t="s">
        <v>20</v>
      </c>
      <c r="N2" s="52" t="s">
        <v>18</v>
      </c>
      <c r="O2" s="52" t="s">
        <v>22</v>
      </c>
      <c r="P2" s="53" t="s">
        <v>443</v>
      </c>
      <c r="Q2" s="52" t="s">
        <v>21</v>
      </c>
      <c r="R2" s="52" t="s">
        <v>23</v>
      </c>
      <c r="S2" s="52" t="s">
        <v>15</v>
      </c>
      <c r="T2" s="52" t="s">
        <v>24</v>
      </c>
      <c r="U2" s="52" t="s">
        <v>30</v>
      </c>
      <c r="V2" s="52" t="s">
        <v>25</v>
      </c>
      <c r="W2" s="52" t="s">
        <v>49</v>
      </c>
      <c r="X2" s="52" t="s">
        <v>14</v>
      </c>
      <c r="Y2" s="52" t="s">
        <v>29</v>
      </c>
      <c r="Z2" s="52" t="s">
        <v>433</v>
      </c>
      <c r="AA2" s="52" t="s">
        <v>76</v>
      </c>
      <c r="AB2" s="52" t="s">
        <v>15</v>
      </c>
      <c r="AC2" s="52" t="s">
        <v>26</v>
      </c>
      <c r="AD2" s="52" t="s">
        <v>14</v>
      </c>
      <c r="AE2" s="52" t="s">
        <v>29</v>
      </c>
      <c r="AF2" s="52" t="s">
        <v>27</v>
      </c>
      <c r="AG2" s="52" t="s">
        <v>28</v>
      </c>
      <c r="AH2" s="52" t="s">
        <v>14</v>
      </c>
      <c r="AI2" s="52" t="s">
        <v>32</v>
      </c>
      <c r="AJ2" s="52" t="s">
        <v>31</v>
      </c>
      <c r="AK2" s="52" t="s">
        <v>33</v>
      </c>
      <c r="AL2" s="52" t="s">
        <v>35</v>
      </c>
      <c r="AM2" s="52" t="s">
        <v>34</v>
      </c>
      <c r="AN2" s="52" t="s">
        <v>37</v>
      </c>
      <c r="AO2" s="52" t="s">
        <v>36</v>
      </c>
      <c r="AP2" s="52" t="s">
        <v>38</v>
      </c>
      <c r="AQ2" s="52" t="s">
        <v>40</v>
      </c>
      <c r="AR2" s="52" t="s">
        <v>15</v>
      </c>
      <c r="AS2" s="52" t="s">
        <v>39</v>
      </c>
      <c r="AT2" s="52" t="s">
        <v>41</v>
      </c>
      <c r="AU2" s="52" t="s">
        <v>43</v>
      </c>
      <c r="AV2" s="52" t="s">
        <v>42</v>
      </c>
      <c r="AW2" s="52" t="s">
        <v>14</v>
      </c>
      <c r="AX2" s="52" t="s">
        <v>44</v>
      </c>
      <c r="AY2" s="52" t="s">
        <v>14</v>
      </c>
      <c r="AZ2" s="52" t="s">
        <v>413</v>
      </c>
      <c r="BA2" s="52" t="s">
        <v>29</v>
      </c>
      <c r="BB2" s="52" t="s">
        <v>45</v>
      </c>
      <c r="BC2" s="52" t="s">
        <v>46</v>
      </c>
      <c r="BD2" s="52" t="s">
        <v>48</v>
      </c>
      <c r="BE2" s="52" t="s">
        <v>47</v>
      </c>
      <c r="BF2" s="52" t="s">
        <v>49</v>
      </c>
      <c r="BG2" s="52" t="s">
        <v>50</v>
      </c>
      <c r="BH2" s="52" t="s">
        <v>51</v>
      </c>
      <c r="BI2" s="52" t="s">
        <v>52</v>
      </c>
      <c r="BK2" s="27" t="s">
        <v>53</v>
      </c>
      <c r="BL2" s="27"/>
      <c r="BM2" s="56" t="s">
        <v>429</v>
      </c>
      <c r="BN2" s="56" t="s">
        <v>479</v>
      </c>
      <c r="BO2" s="27"/>
      <c r="BP2" s="27"/>
    </row>
    <row r="3" spans="1:68" ht="12.75">
      <c r="A3" s="83"/>
      <c r="B3" s="52" t="s">
        <v>55</v>
      </c>
      <c r="C3" s="52" t="s">
        <v>477</v>
      </c>
      <c r="D3" s="52"/>
      <c r="E3" s="52" t="s">
        <v>29</v>
      </c>
      <c r="F3" s="52"/>
      <c r="G3" s="52" t="s">
        <v>57</v>
      </c>
      <c r="H3" s="52" t="s">
        <v>56</v>
      </c>
      <c r="I3" s="52" t="s">
        <v>70</v>
      </c>
      <c r="J3" s="52" t="s">
        <v>29</v>
      </c>
      <c r="K3" s="52"/>
      <c r="L3" s="52" t="s">
        <v>57</v>
      </c>
      <c r="M3" s="52" t="s">
        <v>58</v>
      </c>
      <c r="N3" s="52"/>
      <c r="O3" s="52"/>
      <c r="P3" s="53" t="s">
        <v>442</v>
      </c>
      <c r="Q3" s="52" t="s">
        <v>59</v>
      </c>
      <c r="R3" s="52" t="s">
        <v>415</v>
      </c>
      <c r="S3" s="52" t="s">
        <v>29</v>
      </c>
      <c r="T3" s="52" t="s">
        <v>57</v>
      </c>
      <c r="U3" s="52" t="s">
        <v>66</v>
      </c>
      <c r="V3" s="52" t="s">
        <v>287</v>
      </c>
      <c r="W3" s="52" t="s">
        <v>419</v>
      </c>
      <c r="X3" s="52" t="s">
        <v>444</v>
      </c>
      <c r="Y3" s="52" t="s">
        <v>82</v>
      </c>
      <c r="Z3" s="52" t="s">
        <v>434</v>
      </c>
      <c r="AA3" s="52"/>
      <c r="AB3" s="52" t="s">
        <v>78</v>
      </c>
      <c r="AC3" s="52" t="s">
        <v>61</v>
      </c>
      <c r="AD3" s="52" t="s">
        <v>62</v>
      </c>
      <c r="AE3" s="52" t="s">
        <v>65</v>
      </c>
      <c r="AF3" s="52"/>
      <c r="AG3" s="52" t="s">
        <v>63</v>
      </c>
      <c r="AH3" s="52" t="s">
        <v>64</v>
      </c>
      <c r="AI3" s="52" t="s">
        <v>68</v>
      </c>
      <c r="AJ3" s="52" t="s">
        <v>67</v>
      </c>
      <c r="AK3" s="52"/>
      <c r="AL3" s="52" t="s">
        <v>70</v>
      </c>
      <c r="AM3" s="52" t="s">
        <v>69</v>
      </c>
      <c r="AN3" s="52" t="s">
        <v>72</v>
      </c>
      <c r="AO3" s="52" t="s">
        <v>71</v>
      </c>
      <c r="AP3" s="52" t="s">
        <v>439</v>
      </c>
      <c r="AQ3" s="52" t="s">
        <v>60</v>
      </c>
      <c r="AR3" s="52" t="s">
        <v>29</v>
      </c>
      <c r="AS3" s="52" t="s">
        <v>74</v>
      </c>
      <c r="AT3" s="52" t="s">
        <v>75</v>
      </c>
      <c r="AU3" s="52" t="s">
        <v>73</v>
      </c>
      <c r="AV3" s="52" t="s">
        <v>76</v>
      </c>
      <c r="AW3" s="52" t="s">
        <v>435</v>
      </c>
      <c r="AX3" s="52" t="s">
        <v>77</v>
      </c>
      <c r="AY3" s="52" t="s">
        <v>79</v>
      </c>
      <c r="AZ3" s="52" t="s">
        <v>81</v>
      </c>
      <c r="BA3" s="52" t="s">
        <v>80</v>
      </c>
      <c r="BB3" s="52" t="s">
        <v>83</v>
      </c>
      <c r="BC3" s="52" t="s">
        <v>84</v>
      </c>
      <c r="BD3" s="52" t="s">
        <v>86</v>
      </c>
      <c r="BE3" s="52" t="s">
        <v>85</v>
      </c>
      <c r="BF3" s="52" t="s">
        <v>87</v>
      </c>
      <c r="BG3" s="52" t="s">
        <v>88</v>
      </c>
      <c r="BH3" s="52" t="s">
        <v>89</v>
      </c>
      <c r="BI3" s="52" t="s">
        <v>90</v>
      </c>
      <c r="BK3" s="27" t="s">
        <v>91</v>
      </c>
      <c r="BL3" s="27"/>
      <c r="BM3" s="56" t="s">
        <v>428</v>
      </c>
      <c r="BN3" s="56" t="s">
        <v>428</v>
      </c>
      <c r="BO3" s="27"/>
      <c r="BP3" s="27"/>
    </row>
    <row r="4" spans="1:68" ht="12.75">
      <c r="A4" s="84"/>
      <c r="B4" s="54" t="s">
        <v>92</v>
      </c>
      <c r="C4" s="54" t="s">
        <v>93</v>
      </c>
      <c r="D4" s="54" t="s">
        <v>94</v>
      </c>
      <c r="E4" s="54" t="s">
        <v>95</v>
      </c>
      <c r="F4" s="54" t="s">
        <v>96</v>
      </c>
      <c r="G4" s="54" t="s">
        <v>97</v>
      </c>
      <c r="H4" s="54" t="s">
        <v>98</v>
      </c>
      <c r="I4" s="54" t="s">
        <v>99</v>
      </c>
      <c r="J4" s="54" t="s">
        <v>283</v>
      </c>
      <c r="K4" s="54" t="s">
        <v>284</v>
      </c>
      <c r="L4" s="54" t="s">
        <v>285</v>
      </c>
      <c r="M4" s="54" t="s">
        <v>100</v>
      </c>
      <c r="N4" s="54" t="s">
        <v>101</v>
      </c>
      <c r="O4" s="54" t="s">
        <v>102</v>
      </c>
      <c r="P4" s="54" t="s">
        <v>103</v>
      </c>
      <c r="Q4" s="54" t="s">
        <v>104</v>
      </c>
      <c r="R4" s="54" t="s">
        <v>105</v>
      </c>
      <c r="S4" s="54" t="s">
        <v>106</v>
      </c>
      <c r="T4" s="54" t="s">
        <v>107</v>
      </c>
      <c r="U4" s="54" t="s">
        <v>108</v>
      </c>
      <c r="V4" s="54" t="s">
        <v>109</v>
      </c>
      <c r="W4" s="54" t="s">
        <v>110</v>
      </c>
      <c r="X4" s="54" t="s">
        <v>111</v>
      </c>
      <c r="Y4" s="54" t="s">
        <v>112</v>
      </c>
      <c r="Z4" s="54" t="s">
        <v>113</v>
      </c>
      <c r="AA4" s="54" t="s">
        <v>498</v>
      </c>
      <c r="AB4" s="54" t="s">
        <v>114</v>
      </c>
      <c r="AC4" s="54" t="s">
        <v>115</v>
      </c>
      <c r="AD4" s="54" t="s">
        <v>116</v>
      </c>
      <c r="AE4" s="54" t="s">
        <v>117</v>
      </c>
      <c r="AF4" s="54" t="s">
        <v>118</v>
      </c>
      <c r="AG4" s="54" t="s">
        <v>119</v>
      </c>
      <c r="AH4" s="54" t="s">
        <v>120</v>
      </c>
      <c r="AI4" s="54" t="s">
        <v>121</v>
      </c>
      <c r="AJ4" s="54" t="s">
        <v>122</v>
      </c>
      <c r="AK4" s="54" t="s">
        <v>123</v>
      </c>
      <c r="AL4" s="54" t="s">
        <v>124</v>
      </c>
      <c r="AM4" s="54" t="s">
        <v>125</v>
      </c>
      <c r="AN4" s="54" t="s">
        <v>126</v>
      </c>
      <c r="AO4" s="54" t="s">
        <v>127</v>
      </c>
      <c r="AP4" s="54" t="s">
        <v>128</v>
      </c>
      <c r="AQ4" s="54" t="s">
        <v>129</v>
      </c>
      <c r="AR4" s="54" t="s">
        <v>130</v>
      </c>
      <c r="AS4" s="54" t="s">
        <v>131</v>
      </c>
      <c r="AT4" s="54" t="s">
        <v>132</v>
      </c>
      <c r="AU4" s="54" t="s">
        <v>133</v>
      </c>
      <c r="AV4" s="54" t="s">
        <v>134</v>
      </c>
      <c r="AW4" s="54" t="s">
        <v>135</v>
      </c>
      <c r="AX4" s="54" t="s">
        <v>136</v>
      </c>
      <c r="AY4" s="54" t="s">
        <v>137</v>
      </c>
      <c r="AZ4" s="54" t="s">
        <v>138</v>
      </c>
      <c r="BA4" s="54" t="s">
        <v>139</v>
      </c>
      <c r="BB4" s="54" t="s">
        <v>289</v>
      </c>
      <c r="BC4" s="54" t="s">
        <v>140</v>
      </c>
      <c r="BD4" s="54" t="s">
        <v>141</v>
      </c>
      <c r="BE4" s="54" t="s">
        <v>142</v>
      </c>
      <c r="BF4" s="54" t="s">
        <v>143</v>
      </c>
      <c r="BG4" s="54" t="s">
        <v>144</v>
      </c>
      <c r="BH4" s="54" t="s">
        <v>550</v>
      </c>
      <c r="BI4" s="54" t="s">
        <v>551</v>
      </c>
      <c r="BK4" s="85"/>
      <c r="BL4" s="85"/>
      <c r="BM4" s="85" t="s">
        <v>540</v>
      </c>
      <c r="BN4" s="85" t="s">
        <v>552</v>
      </c>
      <c r="BO4" s="85"/>
      <c r="BP4" s="85"/>
    </row>
    <row r="5" spans="1:68" ht="12.75">
      <c r="A5" s="81" t="s">
        <v>353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K5" s="82"/>
      <c r="BL5" s="82"/>
      <c r="BM5" s="82"/>
      <c r="BN5" s="82"/>
      <c r="BO5" s="82"/>
      <c r="BP5" s="82"/>
    </row>
    <row r="6" spans="1:68" ht="12.75">
      <c r="A6" s="87" t="s">
        <v>358</v>
      </c>
      <c r="B6" s="41">
        <f>B7+B8+B9+B10</f>
        <v>1692204</v>
      </c>
      <c r="C6" s="41">
        <f>C7+C8+C9+C10</f>
        <v>2687236</v>
      </c>
      <c r="D6" s="41">
        <f aca="true" t="shared" si="0" ref="D6:BH6">D7+D8+D9+D10</f>
        <v>898040</v>
      </c>
      <c r="E6" s="41">
        <f>E7+E8+E9+E10</f>
        <v>453656</v>
      </c>
      <c r="F6" s="41">
        <f t="shared" si="0"/>
        <v>1645687</v>
      </c>
      <c r="G6" s="41">
        <f t="shared" si="0"/>
        <v>1467026</v>
      </c>
      <c r="H6" s="41">
        <f t="shared" si="0"/>
        <v>1522429</v>
      </c>
      <c r="I6" s="41">
        <f t="shared" si="0"/>
        <v>865790</v>
      </c>
      <c r="J6" s="41">
        <f t="shared" si="0"/>
        <v>0</v>
      </c>
      <c r="K6" s="41">
        <f t="shared" si="0"/>
        <v>1439386</v>
      </c>
      <c r="L6" s="41">
        <f t="shared" si="0"/>
        <v>12227</v>
      </c>
      <c r="M6" s="41">
        <f>M7+M8+M9+M10</f>
        <v>793768</v>
      </c>
      <c r="N6" s="41">
        <f t="shared" si="0"/>
        <v>33253</v>
      </c>
      <c r="O6" s="41">
        <f t="shared" si="0"/>
        <v>201146</v>
      </c>
      <c r="P6" s="41">
        <f>P7+P8+P9+P10</f>
        <v>0</v>
      </c>
      <c r="Q6" s="41">
        <f t="shared" si="0"/>
        <v>0</v>
      </c>
      <c r="R6" s="41">
        <f t="shared" si="0"/>
        <v>286696</v>
      </c>
      <c r="S6" s="41">
        <f>S7+S8+S9+S10</f>
        <v>336064</v>
      </c>
      <c r="T6" s="41">
        <f t="shared" si="0"/>
        <v>21509</v>
      </c>
      <c r="U6" s="41">
        <f>U7+U8+U9+U10</f>
        <v>11798</v>
      </c>
      <c r="V6" s="41">
        <f>V7+V8+V9+V10</f>
        <v>172635</v>
      </c>
      <c r="W6" s="41">
        <f>W7+W8+W9+W10</f>
        <v>1006248</v>
      </c>
      <c r="X6" s="41">
        <f t="shared" si="0"/>
        <v>25540</v>
      </c>
      <c r="Y6" s="41">
        <f>Y7+Y8+Y9+Y10</f>
        <v>371144</v>
      </c>
      <c r="Z6" s="41">
        <f t="shared" si="0"/>
        <v>0</v>
      </c>
      <c r="AA6" s="41">
        <f t="shared" si="0"/>
        <v>149043</v>
      </c>
      <c r="AB6" s="41">
        <f>AB7+AB8+AB9+AB10</f>
        <v>216415</v>
      </c>
      <c r="AC6" s="41">
        <f>AC7+AC8+AC9+AC10</f>
        <v>293440</v>
      </c>
      <c r="AD6" s="41">
        <f t="shared" si="0"/>
        <v>0</v>
      </c>
      <c r="AE6" s="41">
        <f>AE7+AE8+AE9+AE10</f>
        <v>0</v>
      </c>
      <c r="AF6" s="41">
        <f t="shared" si="0"/>
        <v>168977</v>
      </c>
      <c r="AG6" s="41">
        <f t="shared" si="0"/>
        <v>178234</v>
      </c>
      <c r="AH6" s="41">
        <f t="shared" si="0"/>
        <v>0</v>
      </c>
      <c r="AI6" s="41">
        <f>AI7+AI8+AI9+AI10</f>
        <v>1117</v>
      </c>
      <c r="AJ6" s="41">
        <f t="shared" si="0"/>
        <v>433880</v>
      </c>
      <c r="AK6" s="41">
        <f t="shared" si="0"/>
        <v>0</v>
      </c>
      <c r="AL6" s="41">
        <f>AL7+AL8+AL9+AL10</f>
        <v>35822</v>
      </c>
      <c r="AM6" s="41">
        <f t="shared" si="0"/>
        <v>108468</v>
      </c>
      <c r="AN6" s="41">
        <f t="shared" si="0"/>
        <v>25458</v>
      </c>
      <c r="AO6" s="41">
        <f t="shared" si="0"/>
        <v>6136</v>
      </c>
      <c r="AP6" s="41"/>
      <c r="AQ6" s="41">
        <f t="shared" si="0"/>
        <v>120277</v>
      </c>
      <c r="AR6" s="41">
        <f>AR7+AR8+AR9+AR10</f>
        <v>36948</v>
      </c>
      <c r="AS6" s="41">
        <f t="shared" si="0"/>
        <v>107841</v>
      </c>
      <c r="AT6" s="41">
        <f t="shared" si="0"/>
        <v>0</v>
      </c>
      <c r="AU6" s="41">
        <f t="shared" si="0"/>
        <v>143706</v>
      </c>
      <c r="AV6" s="41">
        <f t="shared" si="0"/>
        <v>94406</v>
      </c>
      <c r="AW6" s="41">
        <f>AW7+AW8+AW9+AW10</f>
        <v>0</v>
      </c>
      <c r="AX6" s="41">
        <f t="shared" si="0"/>
        <v>6366</v>
      </c>
      <c r="AY6" s="41">
        <f t="shared" si="0"/>
        <v>0</v>
      </c>
      <c r="AZ6" s="41">
        <f>AZ7+AZ8+AZ9+AZ10</f>
        <v>0</v>
      </c>
      <c r="BA6" s="41">
        <f>BA7+BA8+BA9+BA10</f>
        <v>0</v>
      </c>
      <c r="BB6" s="41">
        <f t="shared" si="0"/>
        <v>19596</v>
      </c>
      <c r="BC6" s="41">
        <f>BC7+BC8+BC9+BC10</f>
        <v>60033</v>
      </c>
      <c r="BD6" s="41">
        <f>BD7+BD8+BD9+BD10</f>
        <v>12490</v>
      </c>
      <c r="BE6" s="41">
        <f>BE7+BE8+BE9+BE10</f>
        <v>0</v>
      </c>
      <c r="BF6" s="41">
        <f>BF7+BF8+BF9+BF10</f>
        <v>29774</v>
      </c>
      <c r="BG6" s="41">
        <f>BG7+BG8+BG9+BG10</f>
        <v>0</v>
      </c>
      <c r="BH6" s="41">
        <f t="shared" si="0"/>
        <v>0</v>
      </c>
      <c r="BI6" s="41">
        <f>BI7+BI8+BI9+BI10</f>
        <v>0</v>
      </c>
      <c r="BK6" s="41">
        <f aca="true" t="shared" si="1" ref="BK6:BK21">SUM(B6:BJ6)</f>
        <v>18191909</v>
      </c>
      <c r="BL6" s="41"/>
      <c r="BM6" s="41">
        <f aca="true" t="shared" si="2" ref="BM6:BM21">C6+V6+AD6+AH6+AN6+AP6+AS6+AU6+AW6+AZ6+BB6+BD6+BE6+BG6</f>
        <v>3168962</v>
      </c>
      <c r="BN6" s="41">
        <f aca="true" t="shared" si="3" ref="BN6:BN21">B6+D6+E6+F6+G6+H6+I6+J6+K6+L6+M6+N6+O6+P6+Q6+R6+S6+T6+U6+W6+X6+Y6+Z6+AA6+AB6+AC6+AE6+AF6+AG6+AI6+AJ6+AK6+AL6+AM6+AO6+AQ6+AT6+AV6+AX6+AY6+BA6+BC6+BH6+BI6+AR6+BF6</f>
        <v>15022947</v>
      </c>
      <c r="BO6" s="41"/>
      <c r="BP6" s="41"/>
    </row>
    <row r="7" spans="1:68" ht="12.75">
      <c r="A7" s="87" t="s">
        <v>359</v>
      </c>
      <c r="B7" s="2">
        <v>1670314</v>
      </c>
      <c r="C7" s="2">
        <v>2095180</v>
      </c>
      <c r="D7" s="2">
        <v>793690</v>
      </c>
      <c r="E7" s="2">
        <v>453656</v>
      </c>
      <c r="F7" s="2">
        <v>1411370</v>
      </c>
      <c r="G7" s="2">
        <v>1467026</v>
      </c>
      <c r="H7" s="2">
        <v>1509723</v>
      </c>
      <c r="I7" s="2">
        <v>816184</v>
      </c>
      <c r="J7" s="2">
        <v>0</v>
      </c>
      <c r="K7" s="2">
        <v>544910</v>
      </c>
      <c r="L7" s="2">
        <v>0</v>
      </c>
      <c r="M7" s="2">
        <v>731159</v>
      </c>
      <c r="N7" s="2">
        <v>23832</v>
      </c>
      <c r="O7" s="2">
        <v>4957</v>
      </c>
      <c r="P7" s="2">
        <v>0</v>
      </c>
      <c r="Q7" s="2">
        <v>0</v>
      </c>
      <c r="R7" s="2">
        <v>286696</v>
      </c>
      <c r="S7" s="2">
        <v>336064</v>
      </c>
      <c r="T7" s="2">
        <v>21509</v>
      </c>
      <c r="U7" s="2">
        <v>108</v>
      </c>
      <c r="V7" s="2">
        <v>105700</v>
      </c>
      <c r="W7" s="2">
        <v>940875</v>
      </c>
      <c r="X7" s="2">
        <v>0</v>
      </c>
      <c r="Y7" s="2">
        <v>262929</v>
      </c>
      <c r="Z7" s="2">
        <v>0</v>
      </c>
      <c r="AA7" s="2">
        <v>149043</v>
      </c>
      <c r="AB7" s="2">
        <v>203412</v>
      </c>
      <c r="AC7" s="2">
        <v>113828</v>
      </c>
      <c r="AD7" s="2">
        <v>0</v>
      </c>
      <c r="AE7" s="2">
        <v>0</v>
      </c>
      <c r="AF7" s="2">
        <v>168977</v>
      </c>
      <c r="AG7" s="2">
        <v>174395</v>
      </c>
      <c r="AH7" s="2">
        <v>0</v>
      </c>
      <c r="AI7" s="2">
        <v>1117</v>
      </c>
      <c r="AJ7" s="2">
        <v>397684</v>
      </c>
      <c r="AK7" s="2">
        <v>0</v>
      </c>
      <c r="AL7" s="2">
        <v>0</v>
      </c>
      <c r="AM7" s="2">
        <v>108468</v>
      </c>
      <c r="AO7" s="2">
        <v>0</v>
      </c>
      <c r="AP7" s="2"/>
      <c r="AQ7" s="2">
        <v>92413</v>
      </c>
      <c r="AR7" s="2">
        <v>36948</v>
      </c>
      <c r="AS7" s="2">
        <v>103750</v>
      </c>
      <c r="AT7" s="2">
        <v>0</v>
      </c>
      <c r="AU7" s="2">
        <v>78278</v>
      </c>
      <c r="AV7" s="2">
        <v>28479</v>
      </c>
      <c r="AW7" s="2">
        <v>0</v>
      </c>
      <c r="AX7" s="2">
        <v>6366</v>
      </c>
      <c r="AY7" s="2">
        <v>0</v>
      </c>
      <c r="AZ7" s="2">
        <v>0</v>
      </c>
      <c r="BA7" s="2">
        <v>0</v>
      </c>
      <c r="BB7" s="2">
        <v>7129</v>
      </c>
      <c r="BC7" s="2">
        <v>60033</v>
      </c>
      <c r="BD7" s="2">
        <v>12490</v>
      </c>
      <c r="BE7" s="2">
        <v>0</v>
      </c>
      <c r="BF7" s="2">
        <v>29774</v>
      </c>
      <c r="BG7" s="2">
        <v>0</v>
      </c>
      <c r="BH7" s="2">
        <v>0</v>
      </c>
      <c r="BI7" s="2">
        <v>0</v>
      </c>
      <c r="BK7" s="41">
        <f t="shared" si="1"/>
        <v>15248466</v>
      </c>
      <c r="BL7" s="41"/>
      <c r="BM7" s="41">
        <f t="shared" si="2"/>
        <v>2402527</v>
      </c>
      <c r="BN7" s="41">
        <f t="shared" si="3"/>
        <v>12845939</v>
      </c>
      <c r="BO7" s="2"/>
      <c r="BP7" s="41"/>
    </row>
    <row r="8" spans="1:68" ht="12.75">
      <c r="A8" s="87" t="s">
        <v>360</v>
      </c>
      <c r="B8" s="2">
        <v>0</v>
      </c>
      <c r="C8" s="2">
        <v>0</v>
      </c>
      <c r="D8" s="2">
        <v>104350</v>
      </c>
      <c r="E8" s="2">
        <v>0</v>
      </c>
      <c r="F8" s="2">
        <v>234317</v>
      </c>
      <c r="G8" s="2">
        <v>0</v>
      </c>
      <c r="H8" s="2"/>
      <c r="I8" s="2">
        <v>0</v>
      </c>
      <c r="J8" s="2">
        <v>0</v>
      </c>
      <c r="K8" s="2">
        <v>811101</v>
      </c>
      <c r="L8" s="2">
        <v>0</v>
      </c>
      <c r="M8" s="2">
        <v>0</v>
      </c>
      <c r="N8" s="2">
        <v>9421</v>
      </c>
      <c r="O8" s="2">
        <v>196189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11690</v>
      </c>
      <c r="V8" s="2">
        <v>0</v>
      </c>
      <c r="W8" s="2">
        <v>65373</v>
      </c>
      <c r="X8" s="2">
        <v>0</v>
      </c>
      <c r="Y8" s="2">
        <v>108215</v>
      </c>
      <c r="Z8" s="2">
        <v>0</v>
      </c>
      <c r="AA8" s="2">
        <v>0</v>
      </c>
      <c r="AB8" s="2">
        <v>13003</v>
      </c>
      <c r="AC8" s="2">
        <v>179612</v>
      </c>
      <c r="AD8" s="2">
        <v>0</v>
      </c>
      <c r="AE8" s="2">
        <v>0</v>
      </c>
      <c r="AF8" s="2">
        <v>0</v>
      </c>
      <c r="AG8" s="2">
        <v>3839</v>
      </c>
      <c r="AH8" s="2">
        <v>0</v>
      </c>
      <c r="AI8" s="2">
        <v>0</v>
      </c>
      <c r="AJ8" s="2">
        <v>32360</v>
      </c>
      <c r="AK8" s="2">
        <v>0</v>
      </c>
      <c r="AL8" s="2">
        <v>35822</v>
      </c>
      <c r="AM8" s="2">
        <v>0</v>
      </c>
      <c r="AN8" s="2">
        <v>13240</v>
      </c>
      <c r="AO8" s="2">
        <v>0</v>
      </c>
      <c r="AP8" s="2"/>
      <c r="AQ8" s="2">
        <v>27864</v>
      </c>
      <c r="AR8" s="2">
        <v>0</v>
      </c>
      <c r="AS8" s="2">
        <v>4091</v>
      </c>
      <c r="AT8" s="2">
        <v>0</v>
      </c>
      <c r="AU8" s="2">
        <v>56820</v>
      </c>
      <c r="AV8" s="2">
        <v>65927</v>
      </c>
      <c r="AW8" s="2">
        <v>0</v>
      </c>
      <c r="AX8" s="2">
        <v>0</v>
      </c>
      <c r="AY8" s="2">
        <v>0</v>
      </c>
      <c r="AZ8" s="2">
        <v>0</v>
      </c>
      <c r="BA8" s="2">
        <v>0</v>
      </c>
      <c r="BB8" s="2">
        <v>12467</v>
      </c>
      <c r="BC8" s="2">
        <v>0</v>
      </c>
      <c r="BD8" s="2">
        <v>0</v>
      </c>
      <c r="BE8" s="2">
        <v>0</v>
      </c>
      <c r="BF8" s="2">
        <v>0</v>
      </c>
      <c r="BG8" s="2">
        <v>0</v>
      </c>
      <c r="BH8" s="2">
        <v>0</v>
      </c>
      <c r="BI8" s="2">
        <v>0</v>
      </c>
      <c r="BK8" s="41">
        <f t="shared" si="1"/>
        <v>1985701</v>
      </c>
      <c r="BL8" s="41"/>
      <c r="BM8" s="41">
        <f t="shared" si="2"/>
        <v>86618</v>
      </c>
      <c r="BN8" s="41">
        <f t="shared" si="3"/>
        <v>1899083</v>
      </c>
      <c r="BO8" s="2"/>
      <c r="BP8" s="41"/>
    </row>
    <row r="9" spans="1:68" ht="12.75">
      <c r="A9" s="87" t="s">
        <v>379</v>
      </c>
      <c r="B9" s="2">
        <v>0</v>
      </c>
      <c r="C9" s="2">
        <v>67140</v>
      </c>
      <c r="D9" s="2">
        <v>0</v>
      </c>
      <c r="E9" s="2">
        <v>0</v>
      </c>
      <c r="F9" s="2">
        <v>0</v>
      </c>
      <c r="G9" s="2">
        <v>0</v>
      </c>
      <c r="H9" s="2">
        <v>12706</v>
      </c>
      <c r="I9" s="2">
        <v>0</v>
      </c>
      <c r="J9" s="2">
        <v>0</v>
      </c>
      <c r="K9" s="2">
        <v>0</v>
      </c>
      <c r="L9" s="2">
        <v>0</v>
      </c>
      <c r="M9" s="2">
        <v>62609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12218</v>
      </c>
      <c r="AO9" s="2">
        <v>6136</v>
      </c>
      <c r="AP9" s="2"/>
      <c r="AQ9" s="2">
        <v>0</v>
      </c>
      <c r="AR9" s="2">
        <v>0</v>
      </c>
      <c r="AS9" s="2">
        <v>0</v>
      </c>
      <c r="AT9" s="2">
        <v>0</v>
      </c>
      <c r="AU9" s="2">
        <v>8608</v>
      </c>
      <c r="AV9" s="2">
        <v>0</v>
      </c>
      <c r="AW9" s="2">
        <v>0</v>
      </c>
      <c r="AX9" s="2">
        <v>0</v>
      </c>
      <c r="AY9" s="2">
        <v>0</v>
      </c>
      <c r="AZ9" s="2">
        <v>0</v>
      </c>
      <c r="BA9" s="2">
        <v>0</v>
      </c>
      <c r="BB9" s="2">
        <v>0</v>
      </c>
      <c r="BC9" s="2">
        <v>0</v>
      </c>
      <c r="BD9" s="2">
        <v>0</v>
      </c>
      <c r="BE9" s="2">
        <v>0</v>
      </c>
      <c r="BF9" s="2">
        <v>0</v>
      </c>
      <c r="BG9" s="2">
        <v>0</v>
      </c>
      <c r="BH9" s="2">
        <v>0</v>
      </c>
      <c r="BI9" s="2">
        <v>0</v>
      </c>
      <c r="BK9" s="41">
        <f t="shared" si="1"/>
        <v>169417</v>
      </c>
      <c r="BL9" s="41"/>
      <c r="BM9" s="41">
        <f t="shared" si="2"/>
        <v>87966</v>
      </c>
      <c r="BN9" s="41">
        <f t="shared" si="3"/>
        <v>81451</v>
      </c>
      <c r="BO9" s="2"/>
      <c r="BP9" s="41"/>
    </row>
    <row r="10" spans="1:68" ht="12.75">
      <c r="A10" s="87" t="s">
        <v>386</v>
      </c>
      <c r="B10" s="2">
        <v>21890</v>
      </c>
      <c r="C10" s="2">
        <v>524916</v>
      </c>
      <c r="D10" s="2">
        <v>0</v>
      </c>
      <c r="E10" s="2">
        <v>0</v>
      </c>
      <c r="F10" s="2">
        <v>0</v>
      </c>
      <c r="G10" s="2">
        <v>0</v>
      </c>
      <c r="H10" s="2"/>
      <c r="I10" s="2">
        <v>49606</v>
      </c>
      <c r="J10" s="2">
        <v>0</v>
      </c>
      <c r="K10" s="2">
        <v>83375</v>
      </c>
      <c r="L10" s="2">
        <v>12227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66935</v>
      </c>
      <c r="W10" s="2">
        <v>0</v>
      </c>
      <c r="X10" s="2">
        <v>25540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3836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/>
      <c r="AQ10" s="2">
        <v>0</v>
      </c>
      <c r="AR10" s="2">
        <v>0</v>
      </c>
      <c r="AS10" s="2">
        <v>0</v>
      </c>
      <c r="AT10" s="2">
        <v>0</v>
      </c>
      <c r="AU10" s="2">
        <v>0</v>
      </c>
      <c r="AV10" s="2">
        <v>0</v>
      </c>
      <c r="AW10" s="2">
        <v>0</v>
      </c>
      <c r="AX10" s="2">
        <v>0</v>
      </c>
      <c r="AY10" s="2">
        <v>0</v>
      </c>
      <c r="AZ10" s="2">
        <v>0</v>
      </c>
      <c r="BA10" s="2">
        <v>0</v>
      </c>
      <c r="BB10" s="2">
        <v>0</v>
      </c>
      <c r="BC10" s="2">
        <v>0</v>
      </c>
      <c r="BD10" s="2">
        <v>0</v>
      </c>
      <c r="BE10" s="2">
        <v>0</v>
      </c>
      <c r="BF10" s="2">
        <v>0</v>
      </c>
      <c r="BG10" s="2">
        <v>0</v>
      </c>
      <c r="BH10" s="2">
        <v>0</v>
      </c>
      <c r="BI10" s="2">
        <v>0</v>
      </c>
      <c r="BK10" s="41">
        <f t="shared" si="1"/>
        <v>788325</v>
      </c>
      <c r="BL10" s="41"/>
      <c r="BM10" s="41">
        <f t="shared" si="2"/>
        <v>591851</v>
      </c>
      <c r="BN10" s="41">
        <f t="shared" si="3"/>
        <v>196474</v>
      </c>
      <c r="BO10" s="2"/>
      <c r="BP10" s="41"/>
    </row>
    <row r="11" spans="1:68" ht="12.75">
      <c r="A11" s="87" t="s">
        <v>169</v>
      </c>
      <c r="B11" s="2">
        <v>1074765</v>
      </c>
      <c r="C11" s="2">
        <v>1927092</v>
      </c>
      <c r="D11" s="2">
        <v>2870039</v>
      </c>
      <c r="E11" s="2">
        <v>708700</v>
      </c>
      <c r="F11" s="2">
        <v>1229673</v>
      </c>
      <c r="G11" s="2">
        <v>579355</v>
      </c>
      <c r="H11" s="2">
        <v>1019954</v>
      </c>
      <c r="I11" s="2">
        <v>0</v>
      </c>
      <c r="J11" s="2">
        <v>198058</v>
      </c>
      <c r="K11" s="2">
        <v>286285</v>
      </c>
      <c r="L11" s="2">
        <v>214267</v>
      </c>
      <c r="M11" s="2">
        <v>957959</v>
      </c>
      <c r="N11" s="2">
        <v>521971</v>
      </c>
      <c r="O11" s="2">
        <v>430490</v>
      </c>
      <c r="P11" s="2">
        <v>195064</v>
      </c>
      <c r="Q11" s="2">
        <v>391440</v>
      </c>
      <c r="R11" s="2">
        <v>667216</v>
      </c>
      <c r="S11" s="2">
        <v>407311</v>
      </c>
      <c r="T11" s="2">
        <v>516917</v>
      </c>
      <c r="U11" s="2">
        <v>173238</v>
      </c>
      <c r="V11" s="2">
        <v>330970</v>
      </c>
      <c r="W11" s="2">
        <v>87069</v>
      </c>
      <c r="X11" s="2">
        <v>330183</v>
      </c>
      <c r="Y11" s="2">
        <v>93904</v>
      </c>
      <c r="Z11" s="2">
        <v>259267</v>
      </c>
      <c r="AA11" s="2">
        <v>77647</v>
      </c>
      <c r="AB11" s="2">
        <v>0</v>
      </c>
      <c r="AC11" s="2">
        <v>93667</v>
      </c>
      <c r="AD11" s="2">
        <v>0</v>
      </c>
      <c r="AE11" s="2">
        <v>0</v>
      </c>
      <c r="AF11" s="2">
        <v>32849</v>
      </c>
      <c r="AG11" s="2">
        <v>19810</v>
      </c>
      <c r="AH11" s="2">
        <v>11392</v>
      </c>
      <c r="AI11" s="2">
        <v>0</v>
      </c>
      <c r="AJ11" s="2">
        <v>11036</v>
      </c>
      <c r="AK11" s="2">
        <v>0</v>
      </c>
      <c r="AL11" s="2">
        <v>87508</v>
      </c>
      <c r="AM11" s="2">
        <v>0</v>
      </c>
      <c r="AN11" s="2">
        <v>70013</v>
      </c>
      <c r="AO11" s="2">
        <v>5806</v>
      </c>
      <c r="AP11" s="2"/>
      <c r="AQ11" s="2">
        <v>0</v>
      </c>
      <c r="AR11" s="2">
        <v>0</v>
      </c>
      <c r="AS11" s="2">
        <v>145287</v>
      </c>
      <c r="AT11" s="2">
        <v>74859</v>
      </c>
      <c r="AU11" s="2">
        <v>41179</v>
      </c>
      <c r="AV11" s="2">
        <f>121173-10808</f>
        <v>110365</v>
      </c>
      <c r="AW11" s="2">
        <v>0</v>
      </c>
      <c r="AX11" s="2">
        <v>14958</v>
      </c>
      <c r="AY11" s="2">
        <v>3471</v>
      </c>
      <c r="AZ11" s="2">
        <v>8721</v>
      </c>
      <c r="BA11" s="2">
        <v>0</v>
      </c>
      <c r="BB11" s="2">
        <v>138258</v>
      </c>
      <c r="BC11" s="2">
        <v>0</v>
      </c>
      <c r="BD11" s="2">
        <v>0</v>
      </c>
      <c r="BE11" s="2">
        <v>0</v>
      </c>
      <c r="BF11" s="2">
        <v>0</v>
      </c>
      <c r="BG11" s="2">
        <v>0</v>
      </c>
      <c r="BH11" s="2">
        <v>0</v>
      </c>
      <c r="BI11" s="2">
        <v>0</v>
      </c>
      <c r="BK11" s="41">
        <f t="shared" si="1"/>
        <v>16418013</v>
      </c>
      <c r="BL11" s="41"/>
      <c r="BM11" s="41">
        <f t="shared" si="2"/>
        <v>2672912</v>
      </c>
      <c r="BN11" s="41">
        <f t="shared" si="3"/>
        <v>13745101</v>
      </c>
      <c r="BO11" s="2"/>
      <c r="BP11" s="41"/>
    </row>
    <row r="12" spans="1:68" ht="12.75">
      <c r="A12" s="87" t="s">
        <v>163</v>
      </c>
      <c r="B12" s="2">
        <v>8626591</v>
      </c>
      <c r="C12" s="2">
        <v>3875069</v>
      </c>
      <c r="D12" s="2">
        <v>2539855</v>
      </c>
      <c r="E12" s="2">
        <v>1068765</v>
      </c>
      <c r="F12" s="2">
        <v>3540093</v>
      </c>
      <c r="G12" s="2">
        <v>913063</v>
      </c>
      <c r="H12" s="2">
        <v>982173</v>
      </c>
      <c r="I12" s="2">
        <v>0</v>
      </c>
      <c r="J12" s="2">
        <v>965375</v>
      </c>
      <c r="K12" s="2">
        <v>718628</v>
      </c>
      <c r="L12" s="2">
        <v>1297282</v>
      </c>
      <c r="M12" s="2">
        <v>1945789</v>
      </c>
      <c r="N12" s="2">
        <v>558849</v>
      </c>
      <c r="O12" s="2">
        <v>398950</v>
      </c>
      <c r="P12" s="2">
        <v>110131</v>
      </c>
      <c r="Q12" s="2">
        <v>730509</v>
      </c>
      <c r="R12" s="2">
        <v>948833</v>
      </c>
      <c r="S12" s="2">
        <v>346768</v>
      </c>
      <c r="T12" s="2">
        <v>859161</v>
      </c>
      <c r="U12" s="2">
        <v>129725</v>
      </c>
      <c r="V12" s="2">
        <v>369379</v>
      </c>
      <c r="W12" s="2">
        <v>138598</v>
      </c>
      <c r="X12" s="2">
        <v>2068224</v>
      </c>
      <c r="Y12" s="2">
        <v>504106</v>
      </c>
      <c r="Z12" s="2">
        <v>131610</v>
      </c>
      <c r="AA12" s="2">
        <v>65561</v>
      </c>
      <c r="AB12" s="2">
        <v>23599</v>
      </c>
      <c r="AC12" s="2">
        <v>188278</v>
      </c>
      <c r="AD12" s="2">
        <v>0</v>
      </c>
      <c r="AE12" s="2">
        <v>82270</v>
      </c>
      <c r="AF12" s="2">
        <v>202635</v>
      </c>
      <c r="AG12" s="2">
        <v>70353</v>
      </c>
      <c r="AH12" s="2">
        <v>11702</v>
      </c>
      <c r="AI12" s="2">
        <v>96655</v>
      </c>
      <c r="AJ12" s="2">
        <v>100259</v>
      </c>
      <c r="AK12" s="2">
        <v>0</v>
      </c>
      <c r="AL12" s="2">
        <v>127659</v>
      </c>
      <c r="AM12" s="2">
        <v>129453</v>
      </c>
      <c r="AN12" s="2">
        <v>0</v>
      </c>
      <c r="AO12" s="2">
        <v>52311</v>
      </c>
      <c r="AP12" s="2"/>
      <c r="AQ12" s="2">
        <v>22986</v>
      </c>
      <c r="AR12" s="2">
        <v>205047</v>
      </c>
      <c r="AS12" s="2">
        <v>94429</v>
      </c>
      <c r="AT12" s="2">
        <v>147050</v>
      </c>
      <c r="AU12" s="2">
        <v>207509</v>
      </c>
      <c r="AV12" s="2">
        <v>45091</v>
      </c>
      <c r="AW12" s="2">
        <v>11036.1</v>
      </c>
      <c r="AX12" s="2">
        <v>51138</v>
      </c>
      <c r="AY12" s="2">
        <v>26237</v>
      </c>
      <c r="AZ12" s="2">
        <v>61466</v>
      </c>
      <c r="BA12" s="2">
        <v>171777</v>
      </c>
      <c r="BB12" s="2">
        <v>20577</v>
      </c>
      <c r="BC12" s="2">
        <v>0</v>
      </c>
      <c r="BD12" s="2">
        <v>8561</v>
      </c>
      <c r="BE12" s="2">
        <v>0</v>
      </c>
      <c r="BF12" s="2">
        <v>0</v>
      </c>
      <c r="BG12" s="2">
        <v>27992</v>
      </c>
      <c r="BH12" s="2">
        <v>0</v>
      </c>
      <c r="BI12" s="2">
        <v>0</v>
      </c>
      <c r="BK12" s="41">
        <f t="shared" si="1"/>
        <v>36019157.1</v>
      </c>
      <c r="BL12" s="41"/>
      <c r="BM12" s="41">
        <f t="shared" si="2"/>
        <v>4687720.1</v>
      </c>
      <c r="BN12" s="41">
        <f t="shared" si="3"/>
        <v>31331437</v>
      </c>
      <c r="BO12" s="2"/>
      <c r="BP12" s="41"/>
    </row>
    <row r="13" spans="1:68" ht="12.75">
      <c r="A13" s="87" t="s">
        <v>164</v>
      </c>
      <c r="B13" s="2">
        <v>19875764</v>
      </c>
      <c r="C13" s="2">
        <v>11554697</v>
      </c>
      <c r="D13" s="2">
        <v>9714135</v>
      </c>
      <c r="E13" s="2">
        <v>6772129</v>
      </c>
      <c r="F13" s="2">
        <v>14500201</v>
      </c>
      <c r="G13" s="2">
        <v>4472865</v>
      </c>
      <c r="H13" s="2">
        <v>7618967</v>
      </c>
      <c r="I13" s="2">
        <v>1009466</v>
      </c>
      <c r="J13" s="2">
        <v>1358708</v>
      </c>
      <c r="K13" s="2">
        <v>2244059</v>
      </c>
      <c r="L13" s="2">
        <v>2411766</v>
      </c>
      <c r="M13" s="2">
        <v>2572716</v>
      </c>
      <c r="N13" s="2">
        <v>652948</v>
      </c>
      <c r="O13" s="2">
        <v>117969</v>
      </c>
      <c r="P13" s="2">
        <v>33377</v>
      </c>
      <c r="Q13" s="2">
        <v>0</v>
      </c>
      <c r="R13" s="2">
        <v>2184455</v>
      </c>
      <c r="S13" s="2">
        <v>2460181</v>
      </c>
      <c r="T13" s="2">
        <v>1537604</v>
      </c>
      <c r="U13" s="2">
        <v>25224</v>
      </c>
      <c r="V13" s="2">
        <v>1784505</v>
      </c>
      <c r="W13" s="2">
        <v>1909598</v>
      </c>
      <c r="X13" s="2">
        <v>241179</v>
      </c>
      <c r="Y13" s="2">
        <v>594549</v>
      </c>
      <c r="Z13" s="2">
        <v>54295</v>
      </c>
      <c r="AA13" s="2">
        <v>14578</v>
      </c>
      <c r="AB13" s="2">
        <v>663981</v>
      </c>
      <c r="AC13" s="2">
        <v>412079</v>
      </c>
      <c r="AD13" s="2">
        <v>11765</v>
      </c>
      <c r="AE13" s="2">
        <v>0</v>
      </c>
      <c r="AF13" s="2">
        <v>851763</v>
      </c>
      <c r="AG13" s="2">
        <v>606197</v>
      </c>
      <c r="AH13" s="2">
        <v>23488</v>
      </c>
      <c r="AI13" s="2">
        <v>77516</v>
      </c>
      <c r="AJ13" s="2">
        <v>341238</v>
      </c>
      <c r="AK13" s="2">
        <v>20801</v>
      </c>
      <c r="AL13" s="2">
        <v>136848</v>
      </c>
      <c r="AM13" s="2">
        <v>267428</v>
      </c>
      <c r="AN13" s="2">
        <v>179773</v>
      </c>
      <c r="AO13" s="2">
        <v>172276</v>
      </c>
      <c r="AP13" s="2"/>
      <c r="AQ13" s="2">
        <v>284378</v>
      </c>
      <c r="AR13" s="2">
        <v>100958</v>
      </c>
      <c r="AS13" s="2">
        <v>163010</v>
      </c>
      <c r="AT13" s="2">
        <v>330773</v>
      </c>
      <c r="AU13" s="2">
        <v>83948</v>
      </c>
      <c r="AV13" s="2">
        <v>43738</v>
      </c>
      <c r="AW13" s="2">
        <v>27264.5</v>
      </c>
      <c r="AX13" s="2">
        <v>335954</v>
      </c>
      <c r="AY13" s="2">
        <v>188719</v>
      </c>
      <c r="AZ13" s="2">
        <v>70057</v>
      </c>
      <c r="BA13" s="2">
        <v>166413</v>
      </c>
      <c r="BB13" s="2">
        <v>65762</v>
      </c>
      <c r="BC13" s="2">
        <v>24702</v>
      </c>
      <c r="BD13" s="2">
        <v>25351</v>
      </c>
      <c r="BE13" s="2">
        <v>0</v>
      </c>
      <c r="BF13" s="2">
        <v>0</v>
      </c>
      <c r="BG13" s="2">
        <v>10029</v>
      </c>
      <c r="BH13" s="2">
        <v>0</v>
      </c>
      <c r="BI13" s="2">
        <v>9659</v>
      </c>
      <c r="BK13" s="41">
        <f t="shared" si="1"/>
        <v>101411803.5</v>
      </c>
      <c r="BL13" s="41"/>
      <c r="BM13" s="41">
        <f t="shared" si="2"/>
        <v>13999649.5</v>
      </c>
      <c r="BN13" s="41">
        <f t="shared" si="3"/>
        <v>87412154</v>
      </c>
      <c r="BO13" s="2"/>
      <c r="BP13" s="41"/>
    </row>
    <row r="14" spans="1:68" ht="12.75">
      <c r="A14" s="87" t="s">
        <v>165</v>
      </c>
      <c r="B14" s="2">
        <v>14891674</v>
      </c>
      <c r="C14" s="2">
        <v>11545045</v>
      </c>
      <c r="D14" s="2">
        <v>6678592</v>
      </c>
      <c r="E14" s="2">
        <v>4874148</v>
      </c>
      <c r="F14" s="2">
        <v>10955083</v>
      </c>
      <c r="G14" s="2">
        <v>3307932</v>
      </c>
      <c r="H14" s="2">
        <v>6014868</v>
      </c>
      <c r="I14" s="2">
        <v>871575</v>
      </c>
      <c r="J14" s="2">
        <v>1037798</v>
      </c>
      <c r="K14" s="2">
        <v>1289522</v>
      </c>
      <c r="L14" s="2">
        <v>29853</v>
      </c>
      <c r="M14" s="2">
        <v>1026411</v>
      </c>
      <c r="N14" s="2">
        <v>144119</v>
      </c>
      <c r="O14" s="2">
        <v>0</v>
      </c>
      <c r="P14" s="2">
        <v>16834</v>
      </c>
      <c r="Q14" s="2">
        <v>0</v>
      </c>
      <c r="R14" s="2">
        <v>1317745</v>
      </c>
      <c r="S14" s="2">
        <v>2207415</v>
      </c>
      <c r="T14" s="2">
        <v>1095080</v>
      </c>
      <c r="U14" s="2">
        <v>191</v>
      </c>
      <c r="V14" s="2">
        <v>1784505</v>
      </c>
      <c r="W14" s="2">
        <v>1782693</v>
      </c>
      <c r="X14" s="2">
        <v>241179</v>
      </c>
      <c r="Y14" s="2">
        <v>307640</v>
      </c>
      <c r="Z14" s="2">
        <v>191</v>
      </c>
      <c r="AA14" s="2">
        <v>14578</v>
      </c>
      <c r="AB14" s="2">
        <v>554573</v>
      </c>
      <c r="AC14" s="2">
        <v>412079</v>
      </c>
      <c r="AD14" s="2">
        <v>11765</v>
      </c>
      <c r="AE14" s="2">
        <v>0</v>
      </c>
      <c r="AF14" s="2">
        <v>426845</v>
      </c>
      <c r="AG14" s="2">
        <v>578210</v>
      </c>
      <c r="AH14" s="2">
        <v>0</v>
      </c>
      <c r="AI14" s="2">
        <v>3887</v>
      </c>
      <c r="AJ14" s="2">
        <v>314676</v>
      </c>
      <c r="AK14" s="2">
        <v>20801</v>
      </c>
      <c r="AL14" s="2">
        <v>0</v>
      </c>
      <c r="AM14" s="2">
        <v>182603</v>
      </c>
      <c r="AN14" s="2">
        <v>179773</v>
      </c>
      <c r="AO14" s="2">
        <v>111378</v>
      </c>
      <c r="AP14" s="2"/>
      <c r="AQ14" s="2">
        <v>269403</v>
      </c>
      <c r="AR14" s="2">
        <v>40679</v>
      </c>
      <c r="AS14" s="2">
        <v>152201</v>
      </c>
      <c r="AT14" s="2">
        <v>266875</v>
      </c>
      <c r="AU14" s="2">
        <v>66077</v>
      </c>
      <c r="AV14" s="2">
        <v>28221</v>
      </c>
      <c r="AW14" s="2">
        <v>27264.5</v>
      </c>
      <c r="AX14" s="2">
        <v>96015</v>
      </c>
      <c r="AY14" s="2">
        <v>109985</v>
      </c>
      <c r="AZ14" s="2">
        <v>54357</v>
      </c>
      <c r="BA14" s="2">
        <v>106941</v>
      </c>
      <c r="BB14" s="2">
        <v>23035</v>
      </c>
      <c r="BC14" s="2">
        <v>20864</v>
      </c>
      <c r="BD14" s="2">
        <v>19405</v>
      </c>
      <c r="BE14" s="2">
        <v>0</v>
      </c>
      <c r="BF14" s="2">
        <v>0</v>
      </c>
      <c r="BG14" s="2">
        <v>10029</v>
      </c>
      <c r="BH14" s="2">
        <v>0</v>
      </c>
      <c r="BI14" s="2">
        <v>9659</v>
      </c>
      <c r="BK14" s="41">
        <f t="shared" si="1"/>
        <v>75532271.5</v>
      </c>
      <c r="BL14" s="41"/>
      <c r="BM14" s="41">
        <f t="shared" si="2"/>
        <v>13873456.5</v>
      </c>
      <c r="BN14" s="41">
        <f t="shared" si="3"/>
        <v>61658815</v>
      </c>
      <c r="BO14" s="2"/>
      <c r="BP14" s="41"/>
    </row>
    <row r="15" spans="1:68" ht="12.75">
      <c r="A15" s="87" t="s">
        <v>166</v>
      </c>
      <c r="B15" s="2">
        <v>3429275</v>
      </c>
      <c r="C15" s="2">
        <v>9652</v>
      </c>
      <c r="D15" s="2">
        <v>1886407</v>
      </c>
      <c r="E15" s="2">
        <v>362285</v>
      </c>
      <c r="F15" s="2">
        <v>2099593</v>
      </c>
      <c r="G15" s="2">
        <v>956347</v>
      </c>
      <c r="H15" s="2">
        <v>564683</v>
      </c>
      <c r="I15" s="2">
        <v>137891</v>
      </c>
      <c r="J15" s="2">
        <v>320910</v>
      </c>
      <c r="K15" s="2">
        <v>954537</v>
      </c>
      <c r="L15" s="2">
        <v>0</v>
      </c>
      <c r="M15" s="2">
        <v>1546305</v>
      </c>
      <c r="N15" s="2">
        <v>258486</v>
      </c>
      <c r="O15" s="2">
        <v>38013</v>
      </c>
      <c r="P15" s="2">
        <v>16543</v>
      </c>
      <c r="Q15" s="2">
        <v>0</v>
      </c>
      <c r="R15" s="2">
        <v>238927</v>
      </c>
      <c r="S15" s="2">
        <v>252766</v>
      </c>
      <c r="T15" s="2">
        <v>106766</v>
      </c>
      <c r="U15" s="2">
        <v>0</v>
      </c>
      <c r="V15" s="2">
        <v>0</v>
      </c>
      <c r="W15" s="2">
        <v>26423</v>
      </c>
      <c r="X15" s="2">
        <v>0</v>
      </c>
      <c r="Y15" s="2">
        <v>155782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100030</v>
      </c>
      <c r="AG15" s="2">
        <v>27987</v>
      </c>
      <c r="AH15" s="2">
        <v>0</v>
      </c>
      <c r="AI15" s="2">
        <v>52915</v>
      </c>
      <c r="AJ15" s="2">
        <v>0</v>
      </c>
      <c r="AK15" s="2">
        <v>0</v>
      </c>
      <c r="AL15" s="2">
        <v>91856</v>
      </c>
      <c r="AM15" s="2">
        <v>38100</v>
      </c>
      <c r="AN15" s="2">
        <v>0</v>
      </c>
      <c r="AO15" s="2">
        <v>51074</v>
      </c>
      <c r="AP15" s="2"/>
      <c r="AQ15" s="2">
        <v>0</v>
      </c>
      <c r="AR15" s="2">
        <v>25878</v>
      </c>
      <c r="AS15" s="2">
        <v>10809</v>
      </c>
      <c r="AT15" s="2">
        <v>12521</v>
      </c>
      <c r="AU15" s="2">
        <v>17871</v>
      </c>
      <c r="AV15" s="2">
        <v>0</v>
      </c>
      <c r="AW15" s="2">
        <v>0</v>
      </c>
      <c r="AX15" s="2">
        <v>60219</v>
      </c>
      <c r="AY15" s="2">
        <v>78734</v>
      </c>
      <c r="AZ15" s="2">
        <v>15700</v>
      </c>
      <c r="BA15" s="2">
        <v>59472</v>
      </c>
      <c r="BB15" s="2">
        <v>42727</v>
      </c>
      <c r="BC15" s="2">
        <v>3838</v>
      </c>
      <c r="BD15" s="2">
        <v>0</v>
      </c>
      <c r="BE15" s="2">
        <v>0</v>
      </c>
      <c r="BF15" s="2">
        <v>0</v>
      </c>
      <c r="BG15" s="2">
        <v>0</v>
      </c>
      <c r="BH15" s="2">
        <v>0</v>
      </c>
      <c r="BI15" s="2">
        <v>0</v>
      </c>
      <c r="BK15" s="41">
        <f t="shared" si="1"/>
        <v>14051322</v>
      </c>
      <c r="BL15" s="41"/>
      <c r="BM15" s="41">
        <f t="shared" si="2"/>
        <v>96759</v>
      </c>
      <c r="BN15" s="41">
        <f t="shared" si="3"/>
        <v>13954563</v>
      </c>
      <c r="BO15" s="2"/>
      <c r="BP15" s="41"/>
    </row>
    <row r="16" spans="1:68" ht="12.75">
      <c r="A16" s="87" t="s">
        <v>167</v>
      </c>
      <c r="B16" s="2">
        <v>981232</v>
      </c>
      <c r="C16" s="2">
        <v>0</v>
      </c>
      <c r="D16" s="2">
        <v>443051</v>
      </c>
      <c r="E16" s="2">
        <v>726861</v>
      </c>
      <c r="F16" s="2">
        <v>247573</v>
      </c>
      <c r="G16" s="2">
        <v>16165</v>
      </c>
      <c r="H16" s="2">
        <v>258551</v>
      </c>
      <c r="I16" s="2">
        <v>0</v>
      </c>
      <c r="J16" s="2">
        <v>246914</v>
      </c>
      <c r="K16" s="2">
        <v>0</v>
      </c>
      <c r="L16" s="2">
        <v>0</v>
      </c>
      <c r="M16" s="2">
        <v>0</v>
      </c>
      <c r="N16" s="2">
        <v>51626</v>
      </c>
      <c r="O16" s="2">
        <v>90450</v>
      </c>
      <c r="P16" s="2">
        <v>0</v>
      </c>
      <c r="Q16" s="2">
        <v>115342</v>
      </c>
      <c r="R16" s="2">
        <v>115161</v>
      </c>
      <c r="S16" s="2">
        <v>111054</v>
      </c>
      <c r="T16" s="2">
        <v>116593</v>
      </c>
      <c r="U16" s="2">
        <v>65213</v>
      </c>
      <c r="V16" s="2">
        <v>0</v>
      </c>
      <c r="W16" s="2">
        <v>0</v>
      </c>
      <c r="X16" s="2">
        <v>492128</v>
      </c>
      <c r="Y16" s="2">
        <v>57420</v>
      </c>
      <c r="Z16" s="2">
        <v>5174</v>
      </c>
      <c r="AA16" s="2">
        <v>13213</v>
      </c>
      <c r="AB16" s="2">
        <v>0</v>
      </c>
      <c r="AC16" s="2">
        <v>6797</v>
      </c>
      <c r="AD16" s="2">
        <v>0</v>
      </c>
      <c r="AE16" s="2">
        <v>0</v>
      </c>
      <c r="AF16" s="2">
        <v>0</v>
      </c>
      <c r="AG16" s="2">
        <v>30721</v>
      </c>
      <c r="AH16" s="2">
        <v>0</v>
      </c>
      <c r="AI16" s="2">
        <v>10893</v>
      </c>
      <c r="AJ16" s="2">
        <v>28020</v>
      </c>
      <c r="AK16" s="2">
        <v>0</v>
      </c>
      <c r="AL16" s="2">
        <v>10350</v>
      </c>
      <c r="AM16" s="2">
        <v>0</v>
      </c>
      <c r="AN16" s="2">
        <v>0</v>
      </c>
      <c r="AO16" s="2">
        <v>16039</v>
      </c>
      <c r="AP16" s="2"/>
      <c r="AQ16" s="2">
        <v>0</v>
      </c>
      <c r="AR16" s="2">
        <v>24435</v>
      </c>
      <c r="AS16" s="2">
        <v>0</v>
      </c>
      <c r="AT16" s="2">
        <v>19976</v>
      </c>
      <c r="AU16" s="2">
        <v>0</v>
      </c>
      <c r="AV16" s="2">
        <v>0</v>
      </c>
      <c r="AW16" s="2">
        <v>0</v>
      </c>
      <c r="AX16" s="2">
        <v>0</v>
      </c>
      <c r="AY16" s="2">
        <v>1153</v>
      </c>
      <c r="AZ16" s="2">
        <v>0</v>
      </c>
      <c r="BA16" s="2">
        <v>8936</v>
      </c>
      <c r="BB16" s="2">
        <v>0</v>
      </c>
      <c r="BC16" s="2">
        <v>0</v>
      </c>
      <c r="BD16" s="2">
        <v>9926</v>
      </c>
      <c r="BE16" s="2">
        <v>0</v>
      </c>
      <c r="BF16" s="2">
        <v>0</v>
      </c>
      <c r="BG16" s="2">
        <v>0</v>
      </c>
      <c r="BH16" s="2">
        <v>0</v>
      </c>
      <c r="BI16" s="2">
        <v>0</v>
      </c>
      <c r="BK16" s="41">
        <f t="shared" si="1"/>
        <v>4320967</v>
      </c>
      <c r="BL16" s="41"/>
      <c r="BM16" s="41">
        <f t="shared" si="2"/>
        <v>9926</v>
      </c>
      <c r="BN16" s="41">
        <f t="shared" si="3"/>
        <v>4311041</v>
      </c>
      <c r="BO16" s="2"/>
      <c r="BP16" s="41"/>
    </row>
    <row r="17" spans="1:68" ht="12.75">
      <c r="A17" s="87" t="s">
        <v>168</v>
      </c>
      <c r="B17" s="2">
        <v>2814663</v>
      </c>
      <c r="C17" s="2">
        <v>816834</v>
      </c>
      <c r="D17" s="2">
        <v>1448206</v>
      </c>
      <c r="E17" s="2">
        <v>1234958</v>
      </c>
      <c r="F17" s="2">
        <v>872866</v>
      </c>
      <c r="G17" s="2">
        <v>1270941</v>
      </c>
      <c r="H17" s="2">
        <v>410321</v>
      </c>
      <c r="I17" s="2">
        <v>78317</v>
      </c>
      <c r="J17" s="2">
        <v>1089305</v>
      </c>
      <c r="K17" s="2">
        <v>184099</v>
      </c>
      <c r="L17" s="2">
        <v>1389480</v>
      </c>
      <c r="M17" s="2">
        <v>885033</v>
      </c>
      <c r="N17" s="2">
        <v>204307</v>
      </c>
      <c r="O17" s="2">
        <v>303048</v>
      </c>
      <c r="P17" s="2">
        <v>283768</v>
      </c>
      <c r="Q17" s="2">
        <f>238616-20606</f>
        <v>218010</v>
      </c>
      <c r="R17" s="2">
        <v>268574</v>
      </c>
      <c r="S17" s="2">
        <v>289041</v>
      </c>
      <c r="T17" s="2">
        <f>274110+18100+10583</f>
        <v>302793</v>
      </c>
      <c r="U17" s="2">
        <v>0</v>
      </c>
      <c r="V17" s="2">
        <v>134153</v>
      </c>
      <c r="W17" s="2">
        <v>184217</v>
      </c>
      <c r="X17" s="2">
        <v>168765</v>
      </c>
      <c r="Y17" s="2">
        <v>239961</v>
      </c>
      <c r="Z17" s="2">
        <v>24889</v>
      </c>
      <c r="AA17" s="2">
        <v>257261</v>
      </c>
      <c r="AB17" s="2">
        <v>0</v>
      </c>
      <c r="AC17" s="2">
        <v>161564</v>
      </c>
      <c r="AD17" s="2">
        <v>0</v>
      </c>
      <c r="AE17" s="2">
        <v>0</v>
      </c>
      <c r="AF17" s="2">
        <v>72316</v>
      </c>
      <c r="AG17" s="2">
        <v>173667</v>
      </c>
      <c r="AH17" s="2">
        <v>5367</v>
      </c>
      <c r="AI17" s="2">
        <v>53875</v>
      </c>
      <c r="AJ17" s="2">
        <v>11261</v>
      </c>
      <c r="AK17" s="2">
        <v>0</v>
      </c>
      <c r="AL17" s="2">
        <v>72944</v>
      </c>
      <c r="AM17" s="2">
        <v>30395</v>
      </c>
      <c r="AN17" s="2">
        <v>418944</v>
      </c>
      <c r="AO17" s="2">
        <v>122085</v>
      </c>
      <c r="AP17" s="2"/>
      <c r="AQ17" s="2">
        <v>32155</v>
      </c>
      <c r="AR17" s="2">
        <v>122300</v>
      </c>
      <c r="AS17" s="2">
        <v>16833</v>
      </c>
      <c r="AT17" s="2">
        <v>26107</v>
      </c>
      <c r="AU17" s="2">
        <v>0</v>
      </c>
      <c r="AV17" s="2">
        <v>8667</v>
      </c>
      <c r="AW17" s="2">
        <v>0</v>
      </c>
      <c r="AX17" s="2">
        <v>0</v>
      </c>
      <c r="AY17" s="2">
        <v>0</v>
      </c>
      <c r="AZ17" s="2">
        <v>18617</v>
      </c>
      <c r="BA17" s="2">
        <v>0</v>
      </c>
      <c r="BB17" s="2">
        <v>0</v>
      </c>
      <c r="BC17" s="2">
        <v>1200</v>
      </c>
      <c r="BD17" s="2">
        <v>0</v>
      </c>
      <c r="BE17" s="2">
        <v>0</v>
      </c>
      <c r="BF17" s="2">
        <v>0</v>
      </c>
      <c r="BG17" s="2">
        <v>0</v>
      </c>
      <c r="BH17" s="2">
        <v>0</v>
      </c>
      <c r="BI17" s="2">
        <v>0</v>
      </c>
      <c r="BK17" s="41">
        <f t="shared" si="1"/>
        <v>16722107</v>
      </c>
      <c r="BL17" s="41"/>
      <c r="BM17" s="41">
        <f t="shared" si="2"/>
        <v>1410748</v>
      </c>
      <c r="BN17" s="41">
        <f t="shared" si="3"/>
        <v>15311359</v>
      </c>
      <c r="BO17" s="2"/>
      <c r="BP17" s="41"/>
    </row>
    <row r="18" spans="1:68" ht="12.75">
      <c r="A18" s="87" t="s">
        <v>361</v>
      </c>
      <c r="B18" s="41">
        <v>0</v>
      </c>
      <c r="C18" s="115">
        <v>0</v>
      </c>
      <c r="D18" s="115">
        <v>188178</v>
      </c>
      <c r="E18" s="115">
        <v>28250</v>
      </c>
      <c r="F18" s="115">
        <v>288010</v>
      </c>
      <c r="G18" s="115">
        <v>985540</v>
      </c>
      <c r="H18" s="2">
        <v>0</v>
      </c>
      <c r="I18" s="115">
        <v>0</v>
      </c>
      <c r="J18" s="115">
        <v>146927</v>
      </c>
      <c r="K18" s="115">
        <v>0</v>
      </c>
      <c r="L18" s="115">
        <v>236860</v>
      </c>
      <c r="M18" s="2">
        <v>0</v>
      </c>
      <c r="N18" s="115">
        <v>71924</v>
      </c>
      <c r="O18" s="115">
        <v>59485</v>
      </c>
      <c r="P18" s="115">
        <v>421898</v>
      </c>
      <c r="Q18" s="115">
        <v>24819</v>
      </c>
      <c r="R18" s="115">
        <v>203432</v>
      </c>
      <c r="S18" s="115">
        <v>0</v>
      </c>
      <c r="T18" s="115">
        <v>72627</v>
      </c>
      <c r="U18" s="115">
        <v>0</v>
      </c>
      <c r="V18" s="115">
        <v>0</v>
      </c>
      <c r="W18" s="115">
        <v>0</v>
      </c>
      <c r="X18" s="115">
        <v>0</v>
      </c>
      <c r="Y18" s="115">
        <v>166536</v>
      </c>
      <c r="Z18" s="115">
        <v>0</v>
      </c>
      <c r="AA18" s="115">
        <v>0</v>
      </c>
      <c r="AB18" s="115">
        <v>0</v>
      </c>
      <c r="AC18" s="115">
        <v>0</v>
      </c>
      <c r="AD18" s="115">
        <v>0</v>
      </c>
      <c r="AE18" s="115">
        <v>349674</v>
      </c>
      <c r="AF18" s="115">
        <v>27093</v>
      </c>
      <c r="AG18" s="2">
        <v>16767</v>
      </c>
      <c r="AH18" s="115">
        <v>0</v>
      </c>
      <c r="AI18" s="115">
        <v>0</v>
      </c>
      <c r="AJ18" s="115">
        <v>113229</v>
      </c>
      <c r="AK18" s="115">
        <v>0</v>
      </c>
      <c r="AL18" s="115">
        <v>0</v>
      </c>
      <c r="AM18" s="115">
        <v>15356</v>
      </c>
      <c r="AN18" s="2">
        <v>0</v>
      </c>
      <c r="AO18" s="115">
        <v>0</v>
      </c>
      <c r="AP18" s="115"/>
      <c r="AQ18" s="115">
        <v>73395</v>
      </c>
      <c r="AR18" s="115">
        <v>0</v>
      </c>
      <c r="AS18" s="115">
        <v>0</v>
      </c>
      <c r="AT18" s="115">
        <v>0</v>
      </c>
      <c r="AU18" s="115">
        <v>0</v>
      </c>
      <c r="AV18" s="115">
        <v>0</v>
      </c>
      <c r="AW18" s="115">
        <v>0</v>
      </c>
      <c r="AX18" s="115">
        <v>0</v>
      </c>
      <c r="AY18" s="115">
        <v>0</v>
      </c>
      <c r="AZ18" s="115">
        <v>0</v>
      </c>
      <c r="BA18" s="115">
        <v>0</v>
      </c>
      <c r="BB18" s="115">
        <v>0</v>
      </c>
      <c r="BC18" s="2">
        <v>0</v>
      </c>
      <c r="BD18" s="115">
        <v>0</v>
      </c>
      <c r="BE18" s="115">
        <v>0</v>
      </c>
      <c r="BF18" s="115">
        <v>0</v>
      </c>
      <c r="BG18" s="115">
        <v>0</v>
      </c>
      <c r="BH18" s="115">
        <v>0</v>
      </c>
      <c r="BI18" s="115">
        <v>0</v>
      </c>
      <c r="BK18" s="41">
        <f t="shared" si="1"/>
        <v>3490000</v>
      </c>
      <c r="BL18" s="41"/>
      <c r="BM18" s="41">
        <f t="shared" si="2"/>
        <v>0</v>
      </c>
      <c r="BN18" s="41">
        <f t="shared" si="3"/>
        <v>3490000</v>
      </c>
      <c r="BO18" s="115"/>
      <c r="BP18" s="41"/>
    </row>
    <row r="19" spans="1:68" ht="12.75">
      <c r="A19" s="87" t="s">
        <v>362</v>
      </c>
      <c r="B19" s="2">
        <v>0</v>
      </c>
      <c r="C19" s="2">
        <v>0</v>
      </c>
      <c r="D19" s="2">
        <v>124261</v>
      </c>
      <c r="E19" s="2">
        <v>28250</v>
      </c>
      <c r="F19" s="2">
        <v>33136</v>
      </c>
      <c r="G19" s="2">
        <v>985540</v>
      </c>
      <c r="H19" s="2">
        <v>0</v>
      </c>
      <c r="I19" s="2">
        <v>0</v>
      </c>
      <c r="J19" s="2">
        <v>146927</v>
      </c>
      <c r="K19" s="2">
        <v>0</v>
      </c>
      <c r="L19" s="2">
        <v>236860</v>
      </c>
      <c r="M19" s="2">
        <v>0</v>
      </c>
      <c r="N19" s="2">
        <v>71924</v>
      </c>
      <c r="O19" s="2">
        <v>59485</v>
      </c>
      <c r="P19" s="2">
        <v>367162</v>
      </c>
      <c r="Q19" s="2">
        <v>24819</v>
      </c>
      <c r="R19" s="2">
        <v>203432</v>
      </c>
      <c r="S19" s="2">
        <v>0</v>
      </c>
      <c r="T19" s="2">
        <v>33775</v>
      </c>
      <c r="U19" s="2">
        <v>0</v>
      </c>
      <c r="V19" s="2">
        <v>0</v>
      </c>
      <c r="W19" s="2">
        <v>0</v>
      </c>
      <c r="X19" s="2">
        <v>0</v>
      </c>
      <c r="Y19" s="2">
        <v>131579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311976</v>
      </c>
      <c r="AF19" s="2">
        <v>27093</v>
      </c>
      <c r="AG19" s="2">
        <v>16767</v>
      </c>
      <c r="AH19" s="2">
        <v>0</v>
      </c>
      <c r="AI19" s="2">
        <v>0</v>
      </c>
      <c r="AJ19" s="2">
        <v>113229</v>
      </c>
      <c r="AK19" s="2">
        <v>0</v>
      </c>
      <c r="AL19" s="2">
        <v>0</v>
      </c>
      <c r="AM19" s="2">
        <v>15356</v>
      </c>
      <c r="AN19" s="2">
        <v>0</v>
      </c>
      <c r="AO19" s="2">
        <v>0</v>
      </c>
      <c r="AP19" s="2"/>
      <c r="AQ19" s="2">
        <v>73395</v>
      </c>
      <c r="AR19" s="2">
        <v>0</v>
      </c>
      <c r="AS19" s="2">
        <v>0</v>
      </c>
      <c r="AT19" s="2">
        <v>0</v>
      </c>
      <c r="AU19" s="2">
        <v>0</v>
      </c>
      <c r="AV19" s="2">
        <v>0</v>
      </c>
      <c r="AW19" s="2">
        <v>0</v>
      </c>
      <c r="AX19" s="2">
        <v>0</v>
      </c>
      <c r="AY19" s="2">
        <v>0</v>
      </c>
      <c r="AZ19" s="2">
        <v>0</v>
      </c>
      <c r="BA19" s="2">
        <v>0</v>
      </c>
      <c r="BB19" s="2">
        <v>0</v>
      </c>
      <c r="BC19" s="2">
        <v>0</v>
      </c>
      <c r="BD19" s="2">
        <v>0</v>
      </c>
      <c r="BE19" s="2">
        <v>0</v>
      </c>
      <c r="BF19" s="2">
        <v>0</v>
      </c>
      <c r="BG19" s="2">
        <v>0</v>
      </c>
      <c r="BH19" s="2">
        <v>0</v>
      </c>
      <c r="BI19" s="2">
        <v>0</v>
      </c>
      <c r="BK19" s="41">
        <f t="shared" si="1"/>
        <v>3004966</v>
      </c>
      <c r="BL19" s="41"/>
      <c r="BM19" s="41">
        <f t="shared" si="2"/>
        <v>0</v>
      </c>
      <c r="BN19" s="41">
        <f t="shared" si="3"/>
        <v>3004966</v>
      </c>
      <c r="BO19" s="2"/>
      <c r="BP19" s="41"/>
    </row>
    <row r="20" spans="1:68" ht="12.75">
      <c r="A20" s="87" t="s">
        <v>363</v>
      </c>
      <c r="B20" s="2">
        <v>0</v>
      </c>
      <c r="C20" s="2">
        <v>0</v>
      </c>
      <c r="D20" s="2">
        <v>0</v>
      </c>
      <c r="E20" s="2">
        <v>0</v>
      </c>
      <c r="F20" s="2">
        <v>254874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54736</v>
      </c>
      <c r="Q20" s="2">
        <v>0</v>
      </c>
      <c r="R20" s="2">
        <v>0</v>
      </c>
      <c r="S20" s="2">
        <v>0</v>
      </c>
      <c r="T20" s="2">
        <v>38852</v>
      </c>
      <c r="U20" s="2">
        <v>0</v>
      </c>
      <c r="V20" s="2">
        <v>0</v>
      </c>
      <c r="W20" s="2">
        <v>0</v>
      </c>
      <c r="X20" s="2">
        <v>0</v>
      </c>
      <c r="Y20" s="2">
        <v>34957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37698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  <c r="AO20" s="2">
        <v>0</v>
      </c>
      <c r="AP20" s="2"/>
      <c r="AQ20" s="2">
        <v>0</v>
      </c>
      <c r="AR20" s="2">
        <v>0</v>
      </c>
      <c r="AS20" s="2">
        <v>0</v>
      </c>
      <c r="AT20" s="2">
        <v>0</v>
      </c>
      <c r="AU20" s="2">
        <v>0</v>
      </c>
      <c r="AV20" s="2">
        <v>0</v>
      </c>
      <c r="AW20" s="2">
        <v>0</v>
      </c>
      <c r="AX20" s="2">
        <v>0</v>
      </c>
      <c r="AY20" s="2">
        <v>0</v>
      </c>
      <c r="AZ20" s="2">
        <v>0</v>
      </c>
      <c r="BA20" s="2">
        <v>0</v>
      </c>
      <c r="BB20" s="2">
        <v>0</v>
      </c>
      <c r="BC20" s="2">
        <v>0</v>
      </c>
      <c r="BD20" s="2">
        <v>0</v>
      </c>
      <c r="BE20" s="2">
        <v>0</v>
      </c>
      <c r="BF20" s="2">
        <v>0</v>
      </c>
      <c r="BG20" s="2">
        <v>0</v>
      </c>
      <c r="BH20" s="2">
        <v>0</v>
      </c>
      <c r="BI20" s="2">
        <v>0</v>
      </c>
      <c r="BK20" s="41">
        <f t="shared" si="1"/>
        <v>421117</v>
      </c>
      <c r="BL20" s="41"/>
      <c r="BM20" s="41">
        <f t="shared" si="2"/>
        <v>0</v>
      </c>
      <c r="BN20" s="41">
        <f t="shared" si="3"/>
        <v>421117</v>
      </c>
      <c r="BO20" s="2"/>
      <c r="BP20" s="41"/>
    </row>
    <row r="21" spans="1:68" ht="12.75">
      <c r="A21" s="86" t="s">
        <v>409</v>
      </c>
      <c r="B21" s="41">
        <f>B6+B11+B12+B13+B16+B17+B18</f>
        <v>35065219</v>
      </c>
      <c r="C21" s="41">
        <f>C6+C11+C12+C13+C16+C17+C18</f>
        <v>20860928</v>
      </c>
      <c r="D21" s="41">
        <f aca="true" t="shared" si="4" ref="D21:BI21">D6+D11+D12+D13+D16+D17+D18</f>
        <v>18101504</v>
      </c>
      <c r="E21" s="41">
        <f>E6+E11+E12+E13+E16+E17+E18</f>
        <v>10993319</v>
      </c>
      <c r="F21" s="41">
        <f t="shared" si="4"/>
        <v>22324103</v>
      </c>
      <c r="G21" s="41">
        <f t="shared" si="4"/>
        <v>9704955</v>
      </c>
      <c r="H21" s="41">
        <f t="shared" si="4"/>
        <v>11812395</v>
      </c>
      <c r="I21" s="41">
        <f t="shared" si="4"/>
        <v>1953573</v>
      </c>
      <c r="J21" s="41">
        <f t="shared" si="4"/>
        <v>4005287</v>
      </c>
      <c r="K21" s="41">
        <f t="shared" si="4"/>
        <v>4872457</v>
      </c>
      <c r="L21" s="41">
        <f t="shared" si="4"/>
        <v>5561882</v>
      </c>
      <c r="M21" s="41">
        <f>M6+M11+M12+M13+M16+M17+M18</f>
        <v>7155265</v>
      </c>
      <c r="N21" s="41">
        <f t="shared" si="4"/>
        <v>2094878</v>
      </c>
      <c r="O21" s="41">
        <f t="shared" si="4"/>
        <v>1601538</v>
      </c>
      <c r="P21" s="41">
        <f>P6+P11+P12+P13+P16+P17+P18</f>
        <v>1044238</v>
      </c>
      <c r="Q21" s="41">
        <f>Q6+Q11+Q12+Q13+Q16+Q17+Q18</f>
        <v>1480120</v>
      </c>
      <c r="R21" s="41">
        <f t="shared" si="4"/>
        <v>4674367</v>
      </c>
      <c r="S21" s="41">
        <f>S6+S11+S12+S13+S16+S17+S18</f>
        <v>3950419</v>
      </c>
      <c r="T21" s="41">
        <f t="shared" si="4"/>
        <v>3427204</v>
      </c>
      <c r="U21" s="41">
        <f>U6+U11+U12+U13+U16+U17+U18</f>
        <v>405198</v>
      </c>
      <c r="V21" s="41">
        <f>V6+V11+V12+V13+V16+V17+V18</f>
        <v>2791642</v>
      </c>
      <c r="W21" s="41">
        <f>W6+W11+W12+W13+W16+W17+W18</f>
        <v>3325730</v>
      </c>
      <c r="X21" s="41">
        <f t="shared" si="4"/>
        <v>3326019</v>
      </c>
      <c r="Y21" s="41">
        <f>Y6+Y11+Y12+Y13+Y16+Y17+Y18</f>
        <v>2027620</v>
      </c>
      <c r="Z21" s="41">
        <f t="shared" si="4"/>
        <v>475235</v>
      </c>
      <c r="AA21" s="41">
        <f t="shared" si="4"/>
        <v>577303</v>
      </c>
      <c r="AB21" s="41">
        <f>AB6+AB11+AB12+AB13+AB16+AB17+AB18</f>
        <v>903995</v>
      </c>
      <c r="AC21" s="41">
        <f>AC6+AC11+AC12+AC13+AC16+AC17+AC18</f>
        <v>1155825</v>
      </c>
      <c r="AD21" s="41">
        <f t="shared" si="4"/>
        <v>11765</v>
      </c>
      <c r="AE21" s="41">
        <f>AE6+AE11+AE12+AE13+AE16+AE17+AE18</f>
        <v>431944</v>
      </c>
      <c r="AF21" s="41">
        <f t="shared" si="4"/>
        <v>1355633</v>
      </c>
      <c r="AG21" s="41">
        <f t="shared" si="4"/>
        <v>1095749</v>
      </c>
      <c r="AH21" s="41">
        <f t="shared" si="4"/>
        <v>51949</v>
      </c>
      <c r="AI21" s="41">
        <f>AI6+AI11+AI12+AI13+AI16+AI17+AI18</f>
        <v>240056</v>
      </c>
      <c r="AJ21" s="41">
        <f t="shared" si="4"/>
        <v>1038923</v>
      </c>
      <c r="AK21" s="41">
        <f t="shared" si="4"/>
        <v>20801</v>
      </c>
      <c r="AL21" s="41">
        <f>AL6+AL11+AL12+AL13+AL16+AL17+AL18</f>
        <v>471131</v>
      </c>
      <c r="AM21" s="41">
        <f t="shared" si="4"/>
        <v>551100</v>
      </c>
      <c r="AN21" s="41">
        <f t="shared" si="4"/>
        <v>694188</v>
      </c>
      <c r="AO21" s="41">
        <f t="shared" si="4"/>
        <v>374653</v>
      </c>
      <c r="AP21" s="41"/>
      <c r="AQ21" s="41">
        <f t="shared" si="4"/>
        <v>533191</v>
      </c>
      <c r="AR21" s="41">
        <f>AR6+AR11+AR12+AR13+AR16+AR17+AR18</f>
        <v>489688</v>
      </c>
      <c r="AS21" s="41">
        <f t="shared" si="4"/>
        <v>527400</v>
      </c>
      <c r="AT21" s="41">
        <f t="shared" si="4"/>
        <v>598765</v>
      </c>
      <c r="AU21" s="41">
        <f t="shared" si="4"/>
        <v>476342</v>
      </c>
      <c r="AV21" s="41">
        <f t="shared" si="4"/>
        <v>302267</v>
      </c>
      <c r="AW21" s="41">
        <f>AW6+AW11+AW12+AW13+AW16+AW17+AW18</f>
        <v>38300.6</v>
      </c>
      <c r="AX21" s="41">
        <f t="shared" si="4"/>
        <v>408416</v>
      </c>
      <c r="AY21" s="41">
        <f t="shared" si="4"/>
        <v>219580</v>
      </c>
      <c r="AZ21" s="41">
        <f>AZ6+AZ11+AZ12+AZ13+AZ16+AZ17+AZ18</f>
        <v>158861</v>
      </c>
      <c r="BA21" s="41">
        <f>BA6+BA11+BA12+BA13+BA16+BA17+BA18</f>
        <v>347126</v>
      </c>
      <c r="BB21" s="41">
        <f t="shared" si="4"/>
        <v>244193</v>
      </c>
      <c r="BC21" s="41">
        <f>BC6+BC11+BC12+BC13+BC16+BC17+BC18</f>
        <v>85935</v>
      </c>
      <c r="BD21" s="41">
        <f>BD6+BD11+BD12+BD13+BD16+BD17+BD18</f>
        <v>56328</v>
      </c>
      <c r="BE21" s="41">
        <f>BE6+BE11+BE12+BE13+BE16+BE17+BE18</f>
        <v>0</v>
      </c>
      <c r="BF21" s="41">
        <f>BF6+BF11+BF12+BF13+BF16+BF17+BF18</f>
        <v>29774</v>
      </c>
      <c r="BG21" s="41">
        <f>BG6+BG11+BG12+BG13+BG16+BG17+BG18</f>
        <v>38021</v>
      </c>
      <c r="BH21" s="41">
        <f t="shared" si="4"/>
        <v>0</v>
      </c>
      <c r="BI21" s="41">
        <f t="shared" si="4"/>
        <v>9659</v>
      </c>
      <c r="BK21" s="41">
        <f t="shared" si="1"/>
        <v>196573956.6</v>
      </c>
      <c r="BL21" s="41"/>
      <c r="BM21" s="41">
        <f t="shared" si="2"/>
        <v>25949917.6</v>
      </c>
      <c r="BN21" s="41">
        <f t="shared" si="3"/>
        <v>170624039</v>
      </c>
      <c r="BO21" s="41"/>
      <c r="BP21" s="41"/>
    </row>
    <row r="22" spans="1:68" ht="8.25" customHeight="1">
      <c r="A22" s="88"/>
      <c r="BK22" s="41"/>
      <c r="BL22" s="41"/>
      <c r="BM22" s="41"/>
      <c r="BN22" s="41"/>
      <c r="BO22" s="44"/>
      <c r="BP22" s="41"/>
    </row>
    <row r="23" spans="1:68" ht="12.75">
      <c r="A23" s="81" t="s">
        <v>366</v>
      </c>
      <c r="BK23" s="41"/>
      <c r="BL23" s="41"/>
      <c r="BM23" s="41"/>
      <c r="BN23" s="41"/>
      <c r="BO23" s="82"/>
      <c r="BP23" s="41"/>
    </row>
    <row r="24" spans="1:68" ht="12.75">
      <c r="A24" s="87" t="s">
        <v>385</v>
      </c>
      <c r="B24" s="2">
        <v>0</v>
      </c>
      <c r="C24" s="2">
        <v>347507</v>
      </c>
      <c r="D24" s="2">
        <v>0</v>
      </c>
      <c r="E24" s="2">
        <v>144696</v>
      </c>
      <c r="F24" s="2">
        <v>0</v>
      </c>
      <c r="G24" s="2">
        <v>10945</v>
      </c>
      <c r="H24" s="2">
        <v>0</v>
      </c>
      <c r="I24" s="2">
        <v>75282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147521</v>
      </c>
      <c r="R24" s="2">
        <v>0</v>
      </c>
      <c r="S24" s="2">
        <v>0</v>
      </c>
      <c r="T24" s="2">
        <v>0</v>
      </c>
      <c r="U24" s="2">
        <v>0</v>
      </c>
      <c r="V24" s="2">
        <v>34110</v>
      </c>
      <c r="W24" s="2">
        <v>242770</v>
      </c>
      <c r="X24" s="2">
        <v>0</v>
      </c>
      <c r="Y24" s="2">
        <v>0</v>
      </c>
      <c r="Z24" s="2">
        <v>0</v>
      </c>
      <c r="AA24" s="2">
        <v>8207</v>
      </c>
      <c r="AB24" s="2">
        <v>54334</v>
      </c>
      <c r="AC24" s="2">
        <v>10940</v>
      </c>
      <c r="AD24" s="2">
        <v>0</v>
      </c>
      <c r="AE24" s="2">
        <v>101568</v>
      </c>
      <c r="AF24" s="2">
        <v>0</v>
      </c>
      <c r="AG24" s="2">
        <v>0</v>
      </c>
      <c r="AH24" s="2">
        <v>65154</v>
      </c>
      <c r="AI24" s="2">
        <v>5723</v>
      </c>
      <c r="AJ24" s="2">
        <v>0</v>
      </c>
      <c r="AK24" s="2">
        <v>0</v>
      </c>
      <c r="AL24" s="2">
        <v>0</v>
      </c>
      <c r="AM24" s="2">
        <v>0</v>
      </c>
      <c r="AN24" s="2">
        <v>0</v>
      </c>
      <c r="AO24" s="2">
        <v>0</v>
      </c>
      <c r="AP24" s="2"/>
      <c r="AQ24" s="2">
        <v>0</v>
      </c>
      <c r="AR24" s="2">
        <v>0</v>
      </c>
      <c r="AS24" s="2">
        <v>0</v>
      </c>
      <c r="AT24" s="2">
        <v>0</v>
      </c>
      <c r="AU24" s="2">
        <v>0</v>
      </c>
      <c r="AV24" s="2">
        <v>0</v>
      </c>
      <c r="AW24" s="2">
        <v>0</v>
      </c>
      <c r="AX24" s="2">
        <v>0</v>
      </c>
      <c r="AY24" s="2">
        <v>0</v>
      </c>
      <c r="AZ24" s="2">
        <v>0</v>
      </c>
      <c r="BA24" s="2">
        <v>0</v>
      </c>
      <c r="BB24" s="2">
        <v>0</v>
      </c>
      <c r="BC24" s="2">
        <v>0</v>
      </c>
      <c r="BD24" s="2">
        <v>0</v>
      </c>
      <c r="BE24" s="2">
        <v>0</v>
      </c>
      <c r="BF24" s="2">
        <v>0</v>
      </c>
      <c r="BG24" s="2">
        <v>0</v>
      </c>
      <c r="BH24" s="2">
        <v>0</v>
      </c>
      <c r="BI24" s="2">
        <v>0</v>
      </c>
      <c r="BK24" s="41">
        <f aca="true" t="shared" si="5" ref="BK24:BK32">SUM(B24:BJ24)</f>
        <v>1248757</v>
      </c>
      <c r="BL24" s="41"/>
      <c r="BM24" s="41">
        <f aca="true" t="shared" si="6" ref="BM24:BM32">C24+V24+AD24+AH24+AN24+AP24+AS24+AU24+AW24+AZ24+BB24+BD24+BE24+BG24</f>
        <v>446771</v>
      </c>
      <c r="BN24" s="41">
        <f aca="true" t="shared" si="7" ref="BN24:BN32">B24+D24+E24+F24+G24+H24+I24+J24+K24+L24+M24+N24+O24+P24+Q24+R24+S24+T24+U24+W24+X24+Y24+Z24+AA24+AB24+AC24+AE24+AF24+AG24+AI24+AJ24+AK24+AL24+AM24+AO24+AQ24+AT24+AV24+AX24+AY24+BA24+BC24+BH24+BI24+AR24+BF24</f>
        <v>801986</v>
      </c>
      <c r="BO24" s="2"/>
      <c r="BP24" s="41"/>
    </row>
    <row r="25" spans="1:68" ht="12.75">
      <c r="A25" s="87" t="s">
        <v>169</v>
      </c>
      <c r="B25" s="2">
        <v>0</v>
      </c>
      <c r="C25" s="2">
        <v>0</v>
      </c>
      <c r="D25" s="2">
        <v>0</v>
      </c>
      <c r="E25" s="2">
        <v>924431</v>
      </c>
      <c r="F25" s="2">
        <v>0</v>
      </c>
      <c r="G25" s="2">
        <v>0</v>
      </c>
      <c r="H25" s="2">
        <v>0</v>
      </c>
      <c r="I25" s="2">
        <v>20211</v>
      </c>
      <c r="J25" s="2">
        <v>0</v>
      </c>
      <c r="K25" s="2">
        <v>0</v>
      </c>
      <c r="L25" s="2">
        <v>152096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8349</v>
      </c>
      <c r="U25" s="2">
        <v>0</v>
      </c>
      <c r="V25" s="2">
        <v>0</v>
      </c>
      <c r="W25" s="2">
        <v>124161</v>
      </c>
      <c r="X25" s="2">
        <v>0</v>
      </c>
      <c r="Y25" s="2">
        <v>184001</v>
      </c>
      <c r="Z25" s="2">
        <v>0</v>
      </c>
      <c r="AA25" s="2">
        <v>58004</v>
      </c>
      <c r="AB25" s="2">
        <v>32539</v>
      </c>
      <c r="AC25" s="2">
        <v>31776</v>
      </c>
      <c r="AD25" s="2">
        <v>0</v>
      </c>
      <c r="AE25" s="2">
        <v>0</v>
      </c>
      <c r="AF25" s="2">
        <v>0</v>
      </c>
      <c r="AG25" s="2">
        <v>144242</v>
      </c>
      <c r="AH25" s="2">
        <v>129015</v>
      </c>
      <c r="AI25" s="2">
        <v>81810</v>
      </c>
      <c r="AJ25" s="2">
        <v>38937</v>
      </c>
      <c r="AK25" s="2">
        <v>0</v>
      </c>
      <c r="AL25" s="2">
        <v>0</v>
      </c>
      <c r="AM25" s="2">
        <v>37992</v>
      </c>
      <c r="AN25" s="2">
        <v>24876</v>
      </c>
      <c r="AO25" s="2">
        <v>0</v>
      </c>
      <c r="AP25" s="2"/>
      <c r="AQ25" s="2">
        <v>0</v>
      </c>
      <c r="AR25" s="2">
        <v>0</v>
      </c>
      <c r="AS25" s="2">
        <v>0</v>
      </c>
      <c r="AT25" s="2">
        <v>0</v>
      </c>
      <c r="AU25" s="2">
        <v>9916</v>
      </c>
      <c r="AV25" s="2">
        <v>0</v>
      </c>
      <c r="AW25" s="2">
        <v>0</v>
      </c>
      <c r="AX25" s="2">
        <v>0</v>
      </c>
      <c r="AY25" s="2">
        <v>0</v>
      </c>
      <c r="AZ25" s="2">
        <v>0</v>
      </c>
      <c r="BA25" s="2">
        <v>0</v>
      </c>
      <c r="BB25" s="2">
        <v>0</v>
      </c>
      <c r="BC25" s="2">
        <v>0</v>
      </c>
      <c r="BD25" s="2">
        <v>4805</v>
      </c>
      <c r="BE25" s="2">
        <v>0</v>
      </c>
      <c r="BF25" s="2">
        <v>0</v>
      </c>
      <c r="BG25" s="2">
        <v>0</v>
      </c>
      <c r="BH25" s="2">
        <v>0</v>
      </c>
      <c r="BI25" s="2">
        <v>0</v>
      </c>
      <c r="BK25" s="41">
        <f t="shared" si="5"/>
        <v>2007161</v>
      </c>
      <c r="BL25" s="41"/>
      <c r="BM25" s="41">
        <f t="shared" si="6"/>
        <v>168612</v>
      </c>
      <c r="BN25" s="41">
        <f t="shared" si="7"/>
        <v>1838549</v>
      </c>
      <c r="BO25" s="2"/>
      <c r="BP25" s="41"/>
    </row>
    <row r="26" spans="1:68" ht="12.75">
      <c r="A26" s="87" t="s">
        <v>163</v>
      </c>
      <c r="B26" s="2">
        <v>0</v>
      </c>
      <c r="C26" s="2">
        <v>0</v>
      </c>
      <c r="D26" s="2">
        <v>0</v>
      </c>
      <c r="E26" s="2">
        <v>1237497</v>
      </c>
      <c r="F26" s="2">
        <v>0</v>
      </c>
      <c r="G26" s="2">
        <v>0</v>
      </c>
      <c r="H26" s="2">
        <v>0</v>
      </c>
      <c r="I26" s="2">
        <v>2263248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2">
        <v>134551</v>
      </c>
      <c r="X26" s="2">
        <v>0</v>
      </c>
      <c r="Y26" s="2">
        <v>62569</v>
      </c>
      <c r="Z26" s="2">
        <v>0</v>
      </c>
      <c r="AA26" s="2">
        <v>175259</v>
      </c>
      <c r="AB26" s="2">
        <v>32216</v>
      </c>
      <c r="AC26" s="2">
        <v>0</v>
      </c>
      <c r="AD26" s="2">
        <v>0</v>
      </c>
      <c r="AE26" s="2">
        <v>0</v>
      </c>
      <c r="AF26" s="2">
        <v>0</v>
      </c>
      <c r="AG26" s="2">
        <v>213050</v>
      </c>
      <c r="AH26" s="2">
        <v>16491</v>
      </c>
      <c r="AI26" s="2">
        <v>300560</v>
      </c>
      <c r="AJ26" s="2">
        <v>21552</v>
      </c>
      <c r="AK26" s="2">
        <v>1102460</v>
      </c>
      <c r="AL26" s="2">
        <v>0</v>
      </c>
      <c r="AM26" s="2">
        <v>0</v>
      </c>
      <c r="AN26" s="2">
        <v>17921</v>
      </c>
      <c r="AO26" s="2">
        <v>0</v>
      </c>
      <c r="AP26" s="2"/>
      <c r="AQ26" s="2">
        <v>0</v>
      </c>
      <c r="AR26" s="2">
        <v>15686</v>
      </c>
      <c r="AS26" s="2">
        <v>0</v>
      </c>
      <c r="AT26" s="2">
        <v>0</v>
      </c>
      <c r="AU26" s="2">
        <v>0</v>
      </c>
      <c r="AV26" s="2">
        <v>0</v>
      </c>
      <c r="AW26" s="2">
        <v>0</v>
      </c>
      <c r="AX26" s="2">
        <v>0</v>
      </c>
      <c r="AY26" s="2">
        <v>0</v>
      </c>
      <c r="AZ26" s="2">
        <v>0</v>
      </c>
      <c r="BA26" s="2">
        <v>0</v>
      </c>
      <c r="BB26" s="2">
        <v>0</v>
      </c>
      <c r="BC26" s="2">
        <v>0</v>
      </c>
      <c r="BD26" s="2">
        <v>0</v>
      </c>
      <c r="BE26" s="2">
        <v>0</v>
      </c>
      <c r="BF26" s="2">
        <v>0</v>
      </c>
      <c r="BG26" s="2">
        <v>0</v>
      </c>
      <c r="BH26" s="2">
        <v>0</v>
      </c>
      <c r="BI26" s="2">
        <v>0</v>
      </c>
      <c r="BK26" s="41">
        <f t="shared" si="5"/>
        <v>5593060</v>
      </c>
      <c r="BL26" s="41"/>
      <c r="BM26" s="41">
        <f t="shared" si="6"/>
        <v>34412</v>
      </c>
      <c r="BN26" s="41">
        <f t="shared" si="7"/>
        <v>5558648</v>
      </c>
      <c r="BO26" s="2"/>
      <c r="BP26" s="41"/>
    </row>
    <row r="27" spans="1:68" ht="12.75">
      <c r="A27" s="87" t="s">
        <v>164</v>
      </c>
      <c r="B27" s="2">
        <v>7439943</v>
      </c>
      <c r="C27" s="2">
        <v>6219515</v>
      </c>
      <c r="D27" s="2">
        <v>4104048</v>
      </c>
      <c r="E27" s="2">
        <v>3237901</v>
      </c>
      <c r="F27" s="2">
        <v>3213181</v>
      </c>
      <c r="G27" s="2">
        <v>488749</v>
      </c>
      <c r="H27" s="2">
        <v>2305333</v>
      </c>
      <c r="I27" s="2">
        <v>741946</v>
      </c>
      <c r="J27" s="2">
        <v>1458669</v>
      </c>
      <c r="K27" s="2">
        <v>954118</v>
      </c>
      <c r="L27" s="2">
        <v>923105</v>
      </c>
      <c r="M27" s="2">
        <v>0</v>
      </c>
      <c r="N27" s="2">
        <v>0</v>
      </c>
      <c r="O27" s="2">
        <v>663449</v>
      </c>
      <c r="P27" s="2">
        <v>387150</v>
      </c>
      <c r="Q27" s="2">
        <v>623303</v>
      </c>
      <c r="R27" s="2">
        <v>460697</v>
      </c>
      <c r="S27" s="2">
        <v>0</v>
      </c>
      <c r="T27" s="2">
        <v>620373</v>
      </c>
      <c r="U27" s="2">
        <v>81712</v>
      </c>
      <c r="V27" s="2">
        <v>1213122</v>
      </c>
      <c r="W27" s="2">
        <v>22365</v>
      </c>
      <c r="X27" s="2">
        <v>602505</v>
      </c>
      <c r="Y27" s="2">
        <v>155254</v>
      </c>
      <c r="Z27" s="2">
        <v>107262</v>
      </c>
      <c r="AA27" s="2">
        <v>483811</v>
      </c>
      <c r="AB27" s="2">
        <v>14330</v>
      </c>
      <c r="AC27" s="2">
        <v>314952</v>
      </c>
      <c r="AD27" s="2">
        <v>599635</v>
      </c>
      <c r="AE27" s="2">
        <v>0</v>
      </c>
      <c r="AF27" s="2">
        <v>63533</v>
      </c>
      <c r="AG27" s="2">
        <v>374290</v>
      </c>
      <c r="AH27" s="2">
        <v>0</v>
      </c>
      <c r="AI27" s="2">
        <v>230705</v>
      </c>
      <c r="AJ27" s="2">
        <v>212267</v>
      </c>
      <c r="AK27" s="2">
        <v>103615</v>
      </c>
      <c r="AL27" s="2">
        <v>125628</v>
      </c>
      <c r="AM27" s="2">
        <v>142557</v>
      </c>
      <c r="AN27" s="2">
        <v>94248</v>
      </c>
      <c r="AO27" s="2">
        <v>124242</v>
      </c>
      <c r="AP27" s="2"/>
      <c r="AQ27" s="2">
        <v>0</v>
      </c>
      <c r="AR27" s="2">
        <v>0</v>
      </c>
      <c r="AS27" s="2">
        <v>129940</v>
      </c>
      <c r="AT27" s="2">
        <v>93555</v>
      </c>
      <c r="AU27" s="2">
        <v>114724</v>
      </c>
      <c r="AV27" s="2">
        <v>0</v>
      </c>
      <c r="AW27" s="2">
        <v>0</v>
      </c>
      <c r="AX27" s="2">
        <v>0</v>
      </c>
      <c r="AY27" s="2">
        <v>0</v>
      </c>
      <c r="AZ27" s="2">
        <v>52555</v>
      </c>
      <c r="BA27" s="2">
        <v>0</v>
      </c>
      <c r="BB27" s="2">
        <v>0</v>
      </c>
      <c r="BC27" s="2">
        <v>0</v>
      </c>
      <c r="BD27" s="2">
        <v>28681</v>
      </c>
      <c r="BE27" s="2">
        <v>19688</v>
      </c>
      <c r="BF27" s="2">
        <v>0</v>
      </c>
      <c r="BG27" s="2">
        <v>0</v>
      </c>
      <c r="BH27" s="2">
        <v>0</v>
      </c>
      <c r="BI27" s="2">
        <v>0</v>
      </c>
      <c r="BK27" s="41">
        <f t="shared" si="5"/>
        <v>39346656</v>
      </c>
      <c r="BL27" s="41"/>
      <c r="BM27" s="41">
        <f t="shared" si="6"/>
        <v>8472108</v>
      </c>
      <c r="BN27" s="41">
        <f t="shared" si="7"/>
        <v>30874548</v>
      </c>
      <c r="BO27" s="2"/>
      <c r="BP27" s="41"/>
    </row>
    <row r="28" spans="1:68" ht="12.75">
      <c r="A28" s="87" t="s">
        <v>170</v>
      </c>
      <c r="B28" s="2">
        <v>6167629</v>
      </c>
      <c r="C28" s="2">
        <v>4758173</v>
      </c>
      <c r="D28" s="2">
        <v>4104048</v>
      </c>
      <c r="E28" s="2">
        <v>2436317</v>
      </c>
      <c r="F28" s="2">
        <v>3213181</v>
      </c>
      <c r="G28" s="2">
        <v>488749</v>
      </c>
      <c r="H28" s="2">
        <v>2305333</v>
      </c>
      <c r="I28" s="2">
        <v>741946</v>
      </c>
      <c r="J28" s="2">
        <v>1398540</v>
      </c>
      <c r="K28" s="2">
        <v>954118</v>
      </c>
      <c r="L28" s="2">
        <v>873105</v>
      </c>
      <c r="M28" s="2">
        <v>0</v>
      </c>
      <c r="N28" s="2">
        <v>0</v>
      </c>
      <c r="O28" s="2">
        <v>663449</v>
      </c>
      <c r="P28" s="2">
        <v>387150</v>
      </c>
      <c r="Q28" s="2">
        <v>623303</v>
      </c>
      <c r="R28" s="2">
        <v>460697</v>
      </c>
      <c r="S28" s="2">
        <v>0</v>
      </c>
      <c r="T28" s="2">
        <v>620373</v>
      </c>
      <c r="U28" s="2">
        <v>81712</v>
      </c>
      <c r="V28" s="2">
        <v>840956</v>
      </c>
      <c r="W28" s="2">
        <v>0</v>
      </c>
      <c r="X28" s="2">
        <v>250174</v>
      </c>
      <c r="Y28" s="2">
        <v>101435</v>
      </c>
      <c r="Z28" s="2">
        <v>107262</v>
      </c>
      <c r="AA28" s="2">
        <v>483811</v>
      </c>
      <c r="AB28" s="2">
        <v>0</v>
      </c>
      <c r="AC28" s="2">
        <v>314952</v>
      </c>
      <c r="AD28" s="2">
        <v>599635</v>
      </c>
      <c r="AE28" s="2">
        <v>0</v>
      </c>
      <c r="AF28" s="2">
        <v>0</v>
      </c>
      <c r="AG28" s="2">
        <v>295500</v>
      </c>
      <c r="AH28" s="2">
        <v>0</v>
      </c>
      <c r="AI28" s="2">
        <v>230705</v>
      </c>
      <c r="AJ28" s="2">
        <v>206812</v>
      </c>
      <c r="AK28" s="2">
        <v>103615</v>
      </c>
      <c r="AL28" s="2">
        <v>125628</v>
      </c>
      <c r="AM28" s="2">
        <v>142557</v>
      </c>
      <c r="AN28" s="2">
        <v>94248</v>
      </c>
      <c r="AO28" s="2">
        <v>124242</v>
      </c>
      <c r="AP28" s="2"/>
      <c r="AQ28" s="2">
        <v>0</v>
      </c>
      <c r="AR28" s="2">
        <v>0</v>
      </c>
      <c r="AS28" s="2">
        <v>129940</v>
      </c>
      <c r="AT28" s="2">
        <v>93555</v>
      </c>
      <c r="AU28" s="2">
        <v>114724</v>
      </c>
      <c r="AV28" s="2">
        <v>0</v>
      </c>
      <c r="AW28" s="2">
        <v>0</v>
      </c>
      <c r="AX28" s="2">
        <v>0</v>
      </c>
      <c r="AY28" s="2">
        <v>0</v>
      </c>
      <c r="AZ28" s="2">
        <v>52555</v>
      </c>
      <c r="BA28" s="2">
        <v>0</v>
      </c>
      <c r="BB28" s="2">
        <v>0</v>
      </c>
      <c r="BC28" s="2">
        <v>0</v>
      </c>
      <c r="BD28" s="2">
        <v>28681</v>
      </c>
      <c r="BE28" s="2">
        <v>19688</v>
      </c>
      <c r="BF28" s="2">
        <v>0</v>
      </c>
      <c r="BG28" s="2">
        <v>0</v>
      </c>
      <c r="BH28" s="2">
        <v>0</v>
      </c>
      <c r="BI28" s="2">
        <v>0</v>
      </c>
      <c r="BK28" s="41">
        <f t="shared" si="5"/>
        <v>34738498</v>
      </c>
      <c r="BL28" s="41"/>
      <c r="BM28" s="41">
        <f t="shared" si="6"/>
        <v>6638600</v>
      </c>
      <c r="BN28" s="41">
        <f t="shared" si="7"/>
        <v>28099898</v>
      </c>
      <c r="BO28" s="2"/>
      <c r="BP28" s="41"/>
    </row>
    <row r="29" spans="1:68" ht="12.75">
      <c r="A29" s="87" t="s">
        <v>171</v>
      </c>
      <c r="B29" s="2">
        <v>0</v>
      </c>
      <c r="C29" s="2">
        <v>104032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7630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10079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0</v>
      </c>
      <c r="AJ29" s="2">
        <v>3904</v>
      </c>
      <c r="AK29" s="2">
        <v>0</v>
      </c>
      <c r="AL29" s="2">
        <v>0</v>
      </c>
      <c r="AM29" s="2">
        <v>0</v>
      </c>
      <c r="AN29" s="2">
        <v>0</v>
      </c>
      <c r="AO29" s="2">
        <v>0</v>
      </c>
      <c r="AP29" s="2"/>
      <c r="AQ29" s="2">
        <v>0</v>
      </c>
      <c r="AR29" s="2">
        <v>0</v>
      </c>
      <c r="AS29" s="2">
        <v>0</v>
      </c>
      <c r="AT29" s="2">
        <v>0</v>
      </c>
      <c r="AU29" s="2">
        <v>0</v>
      </c>
      <c r="AV29" s="2">
        <v>0</v>
      </c>
      <c r="AW29" s="2">
        <v>0</v>
      </c>
      <c r="AX29" s="2">
        <v>0</v>
      </c>
      <c r="AY29" s="2">
        <v>0</v>
      </c>
      <c r="AZ29" s="2">
        <v>0</v>
      </c>
      <c r="BA29" s="2">
        <v>0</v>
      </c>
      <c r="BB29" s="2">
        <v>0</v>
      </c>
      <c r="BC29" s="2">
        <v>0</v>
      </c>
      <c r="BD29" s="2">
        <v>0</v>
      </c>
      <c r="BE29" s="2">
        <v>0</v>
      </c>
      <c r="BF29" s="2">
        <v>0</v>
      </c>
      <c r="BG29" s="2">
        <v>0</v>
      </c>
      <c r="BH29" s="2">
        <v>0</v>
      </c>
      <c r="BI29" s="2">
        <v>0</v>
      </c>
      <c r="BK29" s="41">
        <f t="shared" si="5"/>
        <v>125645</v>
      </c>
      <c r="BL29" s="41"/>
      <c r="BM29" s="41">
        <f t="shared" si="6"/>
        <v>111662</v>
      </c>
      <c r="BN29" s="41">
        <f t="shared" si="7"/>
        <v>13983</v>
      </c>
      <c r="BO29" s="2"/>
      <c r="BP29" s="41"/>
    </row>
    <row r="30" spans="1:68" ht="12.75">
      <c r="A30" s="87" t="s">
        <v>168</v>
      </c>
      <c r="B30" s="2">
        <v>1168859</v>
      </c>
      <c r="C30" s="2">
        <f>1996256+9098085</f>
        <v>11094341</v>
      </c>
      <c r="D30" s="2">
        <v>3667007</v>
      </c>
      <c r="E30" s="2">
        <v>1712073</v>
      </c>
      <c r="F30" s="2">
        <v>122761</v>
      </c>
      <c r="G30" s="2">
        <v>570146</v>
      </c>
      <c r="H30" s="2">
        <v>207157</v>
      </c>
      <c r="I30" s="2">
        <v>0</v>
      </c>
      <c r="J30" s="2">
        <v>1328070</v>
      </c>
      <c r="K30" s="2">
        <f>2057801-22867</f>
        <v>2034934</v>
      </c>
      <c r="L30" s="2">
        <v>417426</v>
      </c>
      <c r="M30" s="2">
        <v>75878</v>
      </c>
      <c r="N30" s="2">
        <v>3471</v>
      </c>
      <c r="O30" s="2">
        <v>1096934</v>
      </c>
      <c r="P30" s="2">
        <v>49557</v>
      </c>
      <c r="Q30" s="2">
        <v>57548</v>
      </c>
      <c r="R30" s="2">
        <v>0</v>
      </c>
      <c r="S30" s="2">
        <v>0</v>
      </c>
      <c r="T30" s="2">
        <v>394</v>
      </c>
      <c r="U30" s="2">
        <v>124793</v>
      </c>
      <c r="V30" s="2">
        <v>0</v>
      </c>
      <c r="W30" s="2">
        <v>61338</v>
      </c>
      <c r="X30" s="2">
        <v>0</v>
      </c>
      <c r="Y30" s="2">
        <v>104534</v>
      </c>
      <c r="Z30" s="2">
        <v>57129</v>
      </c>
      <c r="AA30" s="2">
        <v>21065</v>
      </c>
      <c r="AB30" s="2">
        <v>99249</v>
      </c>
      <c r="AC30" s="2">
        <v>55582</v>
      </c>
      <c r="AD30" s="2">
        <v>197674</v>
      </c>
      <c r="AE30" s="2">
        <v>454958</v>
      </c>
      <c r="AF30" s="2">
        <v>851637</v>
      </c>
      <c r="AG30" s="2">
        <v>82806</v>
      </c>
      <c r="AH30" s="2">
        <v>0</v>
      </c>
      <c r="AI30" s="2">
        <v>23996</v>
      </c>
      <c r="AJ30" s="2">
        <v>60742</v>
      </c>
      <c r="AK30" s="2">
        <v>551</v>
      </c>
      <c r="AL30" s="2">
        <v>5449</v>
      </c>
      <c r="AM30" s="2">
        <v>0</v>
      </c>
      <c r="AN30" s="2">
        <v>0</v>
      </c>
      <c r="AO30" s="2">
        <v>0</v>
      </c>
      <c r="AP30" s="2"/>
      <c r="AQ30" s="2">
        <v>0</v>
      </c>
      <c r="AR30" s="2">
        <v>0</v>
      </c>
      <c r="AS30" s="2">
        <v>0</v>
      </c>
      <c r="AT30" s="2">
        <v>0</v>
      </c>
      <c r="AU30" s="2">
        <v>15287</v>
      </c>
      <c r="AV30" s="2">
        <v>62033</v>
      </c>
      <c r="AW30" s="2">
        <v>0</v>
      </c>
      <c r="AX30" s="2">
        <v>0</v>
      </c>
      <c r="AY30" s="2">
        <v>0</v>
      </c>
      <c r="AZ30" s="2">
        <v>0</v>
      </c>
      <c r="BA30" s="2">
        <v>0</v>
      </c>
      <c r="BB30" s="2">
        <v>0</v>
      </c>
      <c r="BC30" s="2">
        <v>0</v>
      </c>
      <c r="BD30" s="2">
        <v>0</v>
      </c>
      <c r="BE30" s="2">
        <v>0</v>
      </c>
      <c r="BF30" s="2">
        <v>0</v>
      </c>
      <c r="BG30" s="2">
        <v>0</v>
      </c>
      <c r="BH30" s="2">
        <v>0</v>
      </c>
      <c r="BI30" s="2">
        <v>0</v>
      </c>
      <c r="BK30" s="41">
        <f t="shared" si="5"/>
        <v>25885379</v>
      </c>
      <c r="BL30" s="41"/>
      <c r="BM30" s="41">
        <f t="shared" si="6"/>
        <v>11307302</v>
      </c>
      <c r="BN30" s="41">
        <f t="shared" si="7"/>
        <v>14578077</v>
      </c>
      <c r="BO30" s="2"/>
      <c r="BP30" s="41"/>
    </row>
    <row r="31" spans="1:68" ht="12.75">
      <c r="A31" s="87" t="s">
        <v>364</v>
      </c>
      <c r="B31" s="2">
        <v>8514864</v>
      </c>
      <c r="C31" s="2">
        <v>11606030</v>
      </c>
      <c r="D31" s="2">
        <v>2483592</v>
      </c>
      <c r="E31" s="2">
        <v>3122608</v>
      </c>
      <c r="F31" s="2">
        <v>1944110</v>
      </c>
      <c r="G31" s="2">
        <v>307733</v>
      </c>
      <c r="H31" s="2">
        <v>250646</v>
      </c>
      <c r="I31" s="2">
        <v>1369210</v>
      </c>
      <c r="J31" s="2">
        <v>2035149</v>
      </c>
      <c r="K31" s="2">
        <f>1537604-69082</f>
        <v>1468522</v>
      </c>
      <c r="L31" s="2">
        <v>761193</v>
      </c>
      <c r="M31" s="2">
        <v>226393</v>
      </c>
      <c r="N31" s="2">
        <v>360098</v>
      </c>
      <c r="O31" s="2">
        <v>628405</v>
      </c>
      <c r="P31" s="2">
        <v>2549656</v>
      </c>
      <c r="Q31" s="2">
        <v>392945</v>
      </c>
      <c r="R31" s="2">
        <v>7940</v>
      </c>
      <c r="S31" s="2">
        <v>40841</v>
      </c>
      <c r="T31" s="2">
        <v>57426</v>
      </c>
      <c r="U31" s="2">
        <v>0</v>
      </c>
      <c r="V31" s="2">
        <v>943648</v>
      </c>
      <c r="W31" s="2">
        <v>867303</v>
      </c>
      <c r="X31" s="2">
        <v>450019</v>
      </c>
      <c r="Y31" s="2">
        <v>54016</v>
      </c>
      <c r="Z31" s="2">
        <v>411902</v>
      </c>
      <c r="AA31" s="2">
        <v>81823</v>
      </c>
      <c r="AB31" s="2">
        <v>0</v>
      </c>
      <c r="AC31" s="2">
        <v>241126</v>
      </c>
      <c r="AD31" s="2">
        <v>1351095</v>
      </c>
      <c r="AE31" s="2">
        <v>235274</v>
      </c>
      <c r="AF31" s="2">
        <v>203795</v>
      </c>
      <c r="AG31" s="2">
        <v>148614</v>
      </c>
      <c r="AH31" s="2">
        <v>0</v>
      </c>
      <c r="AI31" s="2">
        <v>22524</v>
      </c>
      <c r="AJ31" s="2">
        <v>109962</v>
      </c>
      <c r="AK31" s="2">
        <v>7120</v>
      </c>
      <c r="AL31" s="2">
        <v>108070</v>
      </c>
      <c r="AM31" s="2">
        <v>66707</v>
      </c>
      <c r="AN31" s="2">
        <v>18303</v>
      </c>
      <c r="AO31" s="2">
        <v>68736</v>
      </c>
      <c r="AP31" s="2"/>
      <c r="AQ31" s="2">
        <v>72132</v>
      </c>
      <c r="AR31" s="2">
        <v>4543</v>
      </c>
      <c r="AS31" s="2">
        <v>136479</v>
      </c>
      <c r="AT31" s="2">
        <v>11389</v>
      </c>
      <c r="AU31" s="2">
        <v>94475</v>
      </c>
      <c r="AV31" s="2">
        <v>42966</v>
      </c>
      <c r="AW31" s="2">
        <v>42232.196</v>
      </c>
      <c r="AX31" s="2">
        <v>3141</v>
      </c>
      <c r="AY31" s="2">
        <v>14311</v>
      </c>
      <c r="AZ31" s="2">
        <v>76472</v>
      </c>
      <c r="BA31" s="2">
        <v>33188</v>
      </c>
      <c r="BB31" s="2">
        <v>8622</v>
      </c>
      <c r="BC31" s="2">
        <v>38375</v>
      </c>
      <c r="BD31" s="2">
        <v>5695</v>
      </c>
      <c r="BE31" s="2">
        <v>72023</v>
      </c>
      <c r="BF31" s="2">
        <v>71612.519</v>
      </c>
      <c r="BG31" s="2">
        <v>10327</v>
      </c>
      <c r="BH31" s="2">
        <v>0</v>
      </c>
      <c r="BI31" s="2">
        <v>0</v>
      </c>
      <c r="BK31" s="41">
        <f t="shared" si="5"/>
        <v>44255380.715</v>
      </c>
      <c r="BL31" s="41"/>
      <c r="BM31" s="41">
        <f t="shared" si="6"/>
        <v>14365401.196</v>
      </c>
      <c r="BN31" s="41">
        <f t="shared" si="7"/>
        <v>29889979.519</v>
      </c>
      <c r="BO31" s="2"/>
      <c r="BP31" s="41"/>
    </row>
    <row r="32" spans="1:68" ht="12.75">
      <c r="A32" s="86" t="s">
        <v>410</v>
      </c>
      <c r="B32" s="41">
        <f>B24+B25+B26+B27+B29+B30+B31</f>
        <v>17123666</v>
      </c>
      <c r="C32" s="41">
        <f>C24+C25+C26+C27+C29+C30+C31</f>
        <v>29371425</v>
      </c>
      <c r="D32" s="41">
        <f aca="true" t="shared" si="8" ref="D32:BH32">D24+D25+D26+D27+D29+D30+D31</f>
        <v>10254647</v>
      </c>
      <c r="E32" s="41">
        <f>E24+E25+E26+E27+E29+E30+E31</f>
        <v>10379206</v>
      </c>
      <c r="F32" s="41">
        <f t="shared" si="8"/>
        <v>5280052</v>
      </c>
      <c r="G32" s="41">
        <f t="shared" si="8"/>
        <v>1377573</v>
      </c>
      <c r="H32" s="41">
        <f t="shared" si="8"/>
        <v>2763136</v>
      </c>
      <c r="I32" s="41">
        <f t="shared" si="8"/>
        <v>4469897</v>
      </c>
      <c r="J32" s="41">
        <f t="shared" si="8"/>
        <v>4821888</v>
      </c>
      <c r="K32" s="41">
        <f t="shared" si="8"/>
        <v>4457574</v>
      </c>
      <c r="L32" s="41">
        <f t="shared" si="8"/>
        <v>2253820</v>
      </c>
      <c r="M32" s="41">
        <f>M24+M25+M26+M27+M29+M30+M31</f>
        <v>302271</v>
      </c>
      <c r="N32" s="41">
        <f t="shared" si="8"/>
        <v>363569</v>
      </c>
      <c r="O32" s="41">
        <f t="shared" si="8"/>
        <v>2388788</v>
      </c>
      <c r="P32" s="41">
        <f>P24+P25+P26+P27+P29+P30+P31</f>
        <v>2986363</v>
      </c>
      <c r="Q32" s="41">
        <f t="shared" si="8"/>
        <v>1221317</v>
      </c>
      <c r="R32" s="41">
        <f t="shared" si="8"/>
        <v>468637</v>
      </c>
      <c r="S32" s="41">
        <f>S24+S25+S26+S27+S29+S30+S31</f>
        <v>40841</v>
      </c>
      <c r="T32" s="41">
        <f t="shared" si="8"/>
        <v>686542</v>
      </c>
      <c r="U32" s="41">
        <f>U24+U25+U26+U27+U29+U30+U31</f>
        <v>206505</v>
      </c>
      <c r="V32" s="41">
        <f>V24+V25+V26+V27+V29+V30+V31</f>
        <v>2198510</v>
      </c>
      <c r="W32" s="41">
        <f>W24+W25+W26+W27+W29+W30+W31</f>
        <v>1452488</v>
      </c>
      <c r="X32" s="41">
        <f t="shared" si="8"/>
        <v>1052524</v>
      </c>
      <c r="Y32" s="41">
        <f>Y24+Y25+Y26+Y27+Y29+Y30+Y31</f>
        <v>560374</v>
      </c>
      <c r="Z32" s="41">
        <f t="shared" si="8"/>
        <v>576293</v>
      </c>
      <c r="AA32" s="41">
        <f t="shared" si="8"/>
        <v>828169</v>
      </c>
      <c r="AB32" s="41">
        <f>AB24+AB25+AB26+AB27+AB29+AB30+AB31</f>
        <v>242747</v>
      </c>
      <c r="AC32" s="41">
        <f>AC24+AC25+AC26+AC27+AC29+AC30+AC31</f>
        <v>654376</v>
      </c>
      <c r="AD32" s="41">
        <f t="shared" si="8"/>
        <v>2148404</v>
      </c>
      <c r="AE32" s="41">
        <f>AE24+AE25+AE26+AE27+AE29+AE30+AE31</f>
        <v>791800</v>
      </c>
      <c r="AF32" s="41">
        <f t="shared" si="8"/>
        <v>1118965</v>
      </c>
      <c r="AG32" s="41">
        <f t="shared" si="8"/>
        <v>963002</v>
      </c>
      <c r="AH32" s="41">
        <f t="shared" si="8"/>
        <v>210660</v>
      </c>
      <c r="AI32" s="41">
        <f>AI24+AI25+AI26+AI27+AI29+AI30+AI31</f>
        <v>665318</v>
      </c>
      <c r="AJ32" s="41">
        <f t="shared" si="8"/>
        <v>447364</v>
      </c>
      <c r="AK32" s="41">
        <f t="shared" si="8"/>
        <v>1213746</v>
      </c>
      <c r="AL32" s="41">
        <f>AL24+AL25+AL26+AL27+AL29+AL30+AL31</f>
        <v>239147</v>
      </c>
      <c r="AM32" s="41">
        <f t="shared" si="8"/>
        <v>247256</v>
      </c>
      <c r="AN32" s="41">
        <f t="shared" si="8"/>
        <v>155348</v>
      </c>
      <c r="AO32" s="41">
        <f t="shared" si="8"/>
        <v>192978</v>
      </c>
      <c r="AP32" s="41"/>
      <c r="AQ32" s="41">
        <f t="shared" si="8"/>
        <v>72132</v>
      </c>
      <c r="AR32" s="41">
        <f>AR24+AR25+AR26+AR27+AR29+AR30+AR31</f>
        <v>20229</v>
      </c>
      <c r="AS32" s="41">
        <f t="shared" si="8"/>
        <v>266419</v>
      </c>
      <c r="AT32" s="41">
        <f t="shared" si="8"/>
        <v>104944</v>
      </c>
      <c r="AU32" s="41">
        <f t="shared" si="8"/>
        <v>234402</v>
      </c>
      <c r="AV32" s="41">
        <f t="shared" si="8"/>
        <v>104999</v>
      </c>
      <c r="AW32" s="41">
        <f>AW24+AW25+AW26+AW27+AW29+AW30+AW31</f>
        <v>42232.196</v>
      </c>
      <c r="AX32" s="41">
        <f t="shared" si="8"/>
        <v>3141</v>
      </c>
      <c r="AY32" s="41">
        <f t="shared" si="8"/>
        <v>14311</v>
      </c>
      <c r="AZ32" s="41">
        <f>AZ24+AZ25+AZ26+AZ27+AZ29+AZ30+AZ31</f>
        <v>129027</v>
      </c>
      <c r="BA32" s="41">
        <f>BA24+BA25+BA26+BA27+BA29+BA30+BA31</f>
        <v>33188</v>
      </c>
      <c r="BB32" s="41">
        <f t="shared" si="8"/>
        <v>8622</v>
      </c>
      <c r="BC32" s="41">
        <f>BC24+BC25+BC26+BC27+BC29+BC30+BC31</f>
        <v>38375</v>
      </c>
      <c r="BD32" s="41">
        <f>BD24+BD25+BD26+BD27+BD29+BD30+BD31</f>
        <v>39181</v>
      </c>
      <c r="BE32" s="41">
        <f>BE24+BE25+BE26+BE27+BE29+BE30+BE31</f>
        <v>91711</v>
      </c>
      <c r="BF32" s="41">
        <f>BF24+BF25+BF26+BF27+BF29+BF30+BF31</f>
        <v>71612.519</v>
      </c>
      <c r="BG32" s="41">
        <f>BG24+BG25+BG26+BG27+BG29+BG30+BG31</f>
        <v>10327</v>
      </c>
      <c r="BH32" s="41">
        <f t="shared" si="8"/>
        <v>0</v>
      </c>
      <c r="BI32" s="41">
        <f>BI24+BI25+BI26+BI27+BI29+BI30+BI31</f>
        <v>0</v>
      </c>
      <c r="BK32" s="41">
        <f t="shared" si="5"/>
        <v>118462038.71499999</v>
      </c>
      <c r="BL32" s="41"/>
      <c r="BM32" s="41">
        <f t="shared" si="6"/>
        <v>34906268.196</v>
      </c>
      <c r="BN32" s="41">
        <f t="shared" si="7"/>
        <v>83555770.519</v>
      </c>
      <c r="BO32" s="41"/>
      <c r="BP32" s="41"/>
    </row>
    <row r="33" spans="1:68" ht="8.25" customHeight="1">
      <c r="A33" s="88"/>
      <c r="BK33" s="41"/>
      <c r="BL33" s="41"/>
      <c r="BM33" s="41"/>
      <c r="BN33" s="41"/>
      <c r="BO33" s="44"/>
      <c r="BP33" s="41"/>
    </row>
    <row r="34" spans="1:68" ht="12.75">
      <c r="A34" s="89" t="s">
        <v>365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144329</v>
      </c>
      <c r="H34" s="2">
        <v>0</v>
      </c>
      <c r="I34" s="2">
        <v>0</v>
      </c>
      <c r="J34" s="2">
        <v>137276</v>
      </c>
      <c r="K34" s="2">
        <v>0</v>
      </c>
      <c r="L34" s="2">
        <v>65851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15005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>
        <v>0</v>
      </c>
      <c r="AE34" s="2">
        <v>0</v>
      </c>
      <c r="AF34" s="2">
        <v>0</v>
      </c>
      <c r="AG34" s="2">
        <v>0</v>
      </c>
      <c r="AH34" s="2">
        <v>0</v>
      </c>
      <c r="AI34" s="2">
        <v>0</v>
      </c>
      <c r="AJ34" s="2">
        <v>0</v>
      </c>
      <c r="AK34" s="2">
        <v>0</v>
      </c>
      <c r="AL34" s="2">
        <v>0</v>
      </c>
      <c r="AM34" s="2">
        <v>0</v>
      </c>
      <c r="AN34" s="2"/>
      <c r="AO34" s="2">
        <v>0</v>
      </c>
      <c r="AP34" s="2"/>
      <c r="AQ34" s="2">
        <v>0</v>
      </c>
      <c r="AR34" s="2">
        <v>0</v>
      </c>
      <c r="AS34" s="2">
        <v>7632</v>
      </c>
      <c r="AT34" s="2">
        <v>0</v>
      </c>
      <c r="AU34" s="2">
        <v>0</v>
      </c>
      <c r="AV34" s="2">
        <v>0</v>
      </c>
      <c r="AW34" s="2">
        <v>0</v>
      </c>
      <c r="AX34" s="2">
        <v>0</v>
      </c>
      <c r="AY34" s="2">
        <v>0</v>
      </c>
      <c r="AZ34" s="2">
        <v>0</v>
      </c>
      <c r="BA34" s="2">
        <v>0</v>
      </c>
      <c r="BB34" s="2">
        <v>0</v>
      </c>
      <c r="BC34" s="2">
        <v>0</v>
      </c>
      <c r="BD34" s="2">
        <v>0</v>
      </c>
      <c r="BE34" s="2">
        <v>0</v>
      </c>
      <c r="BF34" s="2">
        <v>0</v>
      </c>
      <c r="BG34" s="2">
        <v>0</v>
      </c>
      <c r="BH34" s="2">
        <v>0</v>
      </c>
      <c r="BI34" s="2">
        <v>0</v>
      </c>
      <c r="BK34" s="41">
        <f>SUM(B34:BJ34)</f>
        <v>370093</v>
      </c>
      <c r="BL34" s="41"/>
      <c r="BM34" s="41">
        <f>C34+V34+AD34+AH34+AN34+AP34+AS34+AU34+AW34+AZ34+BB34+BD34+BE34+BG34</f>
        <v>7632</v>
      </c>
      <c r="BN34" s="41">
        <f>B34+D34+E34+F34+G34+H34+I34+J34+K34+L34+M34+N34+O34+P34+Q34+R34+S34+T34+U34+W34+X34+Y34+Z34+AA34+AB34+AC34+AE34+AF34+AG34+AI34+AJ34+AK34+AL34+AM34+AO34+AQ34+AT34+AV34+AX34+AY34+BA34+BC34+BH34+BI34+AR34+BF34</f>
        <v>362461</v>
      </c>
      <c r="BO34" s="2"/>
      <c r="BP34" s="41"/>
    </row>
    <row r="35" spans="1:68" ht="8.25" customHeight="1">
      <c r="A35" s="81"/>
      <c r="BK35" s="41"/>
      <c r="BL35" s="41"/>
      <c r="BM35" s="41"/>
      <c r="BN35" s="41"/>
      <c r="BO35" s="44"/>
      <c r="BP35" s="41"/>
    </row>
    <row r="36" spans="1:68" ht="12.75">
      <c r="A36" s="90" t="s">
        <v>367</v>
      </c>
      <c r="B36" s="41">
        <v>6861153</v>
      </c>
      <c r="C36" s="41">
        <v>2293554</v>
      </c>
      <c r="D36" s="41">
        <v>1191308</v>
      </c>
      <c r="E36" s="41">
        <v>12623303</v>
      </c>
      <c r="F36" s="41">
        <v>3310810</v>
      </c>
      <c r="G36" s="41">
        <v>30507</v>
      </c>
      <c r="H36" s="41">
        <v>1504879</v>
      </c>
      <c r="I36" s="41">
        <v>5859414</v>
      </c>
      <c r="J36" s="41">
        <v>295667</v>
      </c>
      <c r="K36" s="41">
        <v>51186</v>
      </c>
      <c r="L36" s="41">
        <v>81455</v>
      </c>
      <c r="M36" s="41">
        <v>1178606</v>
      </c>
      <c r="N36" s="41">
        <v>5908421</v>
      </c>
      <c r="O36" s="41">
        <v>6348795</v>
      </c>
      <c r="P36" s="41">
        <v>297773</v>
      </c>
      <c r="Q36" s="41">
        <f>3669052+802232+1198720</f>
        <v>5670004</v>
      </c>
      <c r="R36" s="41">
        <v>1068667</v>
      </c>
      <c r="S36" s="41">
        <v>1442399</v>
      </c>
      <c r="T36" s="41">
        <v>0</v>
      </c>
      <c r="U36" s="41">
        <v>5917850</v>
      </c>
      <c r="V36" s="41">
        <v>370717</v>
      </c>
      <c r="W36" s="41">
        <v>1068204</v>
      </c>
      <c r="X36" s="41">
        <v>717230</v>
      </c>
      <c r="Y36" s="41">
        <f>1304747+969944</f>
        <v>2274691</v>
      </c>
      <c r="Z36" s="41">
        <v>4021832</v>
      </c>
      <c r="AA36" s="41">
        <v>1289473</v>
      </c>
      <c r="AB36" s="41">
        <v>2077970</v>
      </c>
      <c r="AC36" s="41">
        <v>205888</v>
      </c>
      <c r="AD36" s="41">
        <v>142940</v>
      </c>
      <c r="AE36" s="41">
        <v>824262</v>
      </c>
      <c r="AF36" s="41">
        <v>0</v>
      </c>
      <c r="AG36" s="41">
        <v>0</v>
      </c>
      <c r="AH36" s="41">
        <f>1937542+AH37</f>
        <v>2262100</v>
      </c>
      <c r="AI36" s="41">
        <f>484897+415249</f>
        <v>900146</v>
      </c>
      <c r="AJ36" s="41">
        <v>333746</v>
      </c>
      <c r="AK36" s="41">
        <v>0</v>
      </c>
      <c r="AL36" s="41">
        <v>805547</v>
      </c>
      <c r="AM36" s="41">
        <v>799419</v>
      </c>
      <c r="AN36" s="41">
        <v>75542</v>
      </c>
      <c r="AO36" s="41">
        <v>536578</v>
      </c>
      <c r="AP36" s="41"/>
      <c r="AQ36" s="41">
        <v>369922</v>
      </c>
      <c r="AR36" s="41">
        <f>125211+200583</f>
        <v>325794</v>
      </c>
      <c r="AS36" s="41">
        <v>129295</v>
      </c>
      <c r="AT36" s="41">
        <v>27017</v>
      </c>
      <c r="AU36" s="41">
        <v>0</v>
      </c>
      <c r="AV36" s="41">
        <v>251102</v>
      </c>
      <c r="AW36" s="41">
        <v>288963.446</v>
      </c>
      <c r="AX36" s="41">
        <v>160289</v>
      </c>
      <c r="AY36" s="41">
        <v>225870</v>
      </c>
      <c r="AZ36" s="41">
        <v>84612</v>
      </c>
      <c r="BA36" s="41">
        <v>0</v>
      </c>
      <c r="BB36" s="41">
        <v>0</v>
      </c>
      <c r="BC36" s="41">
        <f>18074+19736</f>
        <v>37810</v>
      </c>
      <c r="BD36" s="41">
        <v>0</v>
      </c>
      <c r="BE36" s="41">
        <v>0</v>
      </c>
      <c r="BF36" s="41">
        <v>0</v>
      </c>
      <c r="BG36" s="41">
        <v>0</v>
      </c>
      <c r="BH36" s="41">
        <v>37998.805</v>
      </c>
      <c r="BI36" s="41">
        <v>0</v>
      </c>
      <c r="BK36" s="41">
        <f>SUM(B36:BJ36)</f>
        <v>82580709.251</v>
      </c>
      <c r="BL36" s="41"/>
      <c r="BM36" s="41">
        <f>C36+V36+AD36+AH36+AN36+AP36+AS36+AU36+AW36+AZ36+BB36+BD36+BE36+BG36</f>
        <v>5647723.446</v>
      </c>
      <c r="BN36" s="41">
        <f>B36+D36+E36+F36+G36+H36+I36+J36+K36+L36+M36+N36+O36+P36+Q36+R36+S36+T36+U36+W36+X36+Y36+Z36+AA36+AB36+AC36+AE36+AF36+AG36+AI36+AJ36+AK36+AL36+AM36+AO36+AQ36+AT36+AV36+AX36+AY36+BA36+BC36+BH36+BI36+AR36+BF36</f>
        <v>76932985.805</v>
      </c>
      <c r="BO36" s="41"/>
      <c r="BP36" s="41"/>
    </row>
    <row r="37" spans="1:68" ht="12.75">
      <c r="A37" s="87" t="s">
        <v>369</v>
      </c>
      <c r="B37" s="2">
        <v>6861153</v>
      </c>
      <c r="C37" s="2">
        <v>1911696</v>
      </c>
      <c r="D37" s="2">
        <v>7507</v>
      </c>
      <c r="E37" s="2">
        <v>12623303</v>
      </c>
      <c r="F37" s="2">
        <v>3265521</v>
      </c>
      <c r="G37" s="2">
        <v>30507</v>
      </c>
      <c r="H37" s="2">
        <v>1152173</v>
      </c>
      <c r="I37" s="2">
        <v>2220933</v>
      </c>
      <c r="J37" s="2">
        <v>0</v>
      </c>
      <c r="K37" s="2">
        <v>49704</v>
      </c>
      <c r="L37" s="2">
        <v>0</v>
      </c>
      <c r="M37" s="2">
        <v>1091012</v>
      </c>
      <c r="N37" s="2">
        <v>2086654</v>
      </c>
      <c r="O37" s="2">
        <v>2916639</v>
      </c>
      <c r="P37" s="2">
        <v>297773</v>
      </c>
      <c r="Q37" s="2">
        <v>1198720</v>
      </c>
      <c r="R37" s="2">
        <v>0</v>
      </c>
      <c r="S37" s="2">
        <v>770103</v>
      </c>
      <c r="T37" s="2">
        <v>0</v>
      </c>
      <c r="U37" s="2">
        <v>1232706</v>
      </c>
      <c r="V37" s="2">
        <v>330145</v>
      </c>
      <c r="W37" s="2">
        <v>639326</v>
      </c>
      <c r="X37" s="2">
        <v>0</v>
      </c>
      <c r="Y37" s="2">
        <v>969944</v>
      </c>
      <c r="Z37" s="2">
        <v>1010741</v>
      </c>
      <c r="AA37" s="2">
        <v>75922</v>
      </c>
      <c r="AB37" s="2">
        <v>721105</v>
      </c>
      <c r="AC37" s="2">
        <v>205888</v>
      </c>
      <c r="AD37" s="2">
        <v>0</v>
      </c>
      <c r="AE37" s="2">
        <v>428359</v>
      </c>
      <c r="AF37" s="2">
        <v>0</v>
      </c>
      <c r="AG37" s="2">
        <v>0</v>
      </c>
      <c r="AH37" s="2">
        <v>324558</v>
      </c>
      <c r="AI37" s="2">
        <v>305350</v>
      </c>
      <c r="AJ37" s="2">
        <f>5059+177758</f>
        <v>182817</v>
      </c>
      <c r="AK37" s="2">
        <v>0</v>
      </c>
      <c r="AL37" s="2">
        <v>143985</v>
      </c>
      <c r="AM37" s="2">
        <v>197457</v>
      </c>
      <c r="AN37" s="2">
        <v>63145</v>
      </c>
      <c r="AO37" s="2">
        <v>146899</v>
      </c>
      <c r="AP37" s="2"/>
      <c r="AQ37" s="2">
        <v>93175</v>
      </c>
      <c r="AR37" s="2">
        <v>200583</v>
      </c>
      <c r="AS37" s="2">
        <v>100316</v>
      </c>
      <c r="AT37" s="2">
        <v>16727</v>
      </c>
      <c r="AU37" s="2">
        <v>0</v>
      </c>
      <c r="AV37" s="2">
        <v>75188</v>
      </c>
      <c r="AW37" s="2">
        <v>130620.94</v>
      </c>
      <c r="AX37" s="2">
        <v>11066</v>
      </c>
      <c r="AY37" s="2">
        <v>0</v>
      </c>
      <c r="AZ37" s="2">
        <v>8691</v>
      </c>
      <c r="BA37" s="2">
        <v>0</v>
      </c>
      <c r="BB37" s="2">
        <v>0</v>
      </c>
      <c r="BC37" s="115">
        <v>18074</v>
      </c>
      <c r="BD37" s="2">
        <v>0</v>
      </c>
      <c r="BE37" s="2">
        <v>0</v>
      </c>
      <c r="BF37" s="2">
        <v>0</v>
      </c>
      <c r="BG37" s="2">
        <v>0</v>
      </c>
      <c r="BH37" s="2">
        <v>1791.478</v>
      </c>
      <c r="BI37" s="2">
        <v>0</v>
      </c>
      <c r="BK37" s="41">
        <f>SUM(B37:BJ37)</f>
        <v>44117977.418</v>
      </c>
      <c r="BL37" s="41"/>
      <c r="BM37" s="41">
        <f>C37+V37+AD37+AH37+AN37+AP37+AS37+AU37+AW37+AZ37+BB37+BD37+BE37+BG37</f>
        <v>2869171.94</v>
      </c>
      <c r="BN37" s="41">
        <f>B37+D37+E37+F37+G37+H37+I37+J37+K37+L37+M37+N37+O37+P37+Q37+R37+S37+T37+U37+W37+X37+Y37+Z37+AA37+AB37+AC37+AE37+AF37+AG37+AI37+AJ37+AK37+AL37+AM37+AO37+AQ37+AT37+AV37+AX37+AY37+BA37+BC37+BH37+BI37+AR37+BF37</f>
        <v>41248805.478</v>
      </c>
      <c r="BO37" s="2"/>
      <c r="BP37" s="41"/>
    </row>
    <row r="38" spans="1:68" ht="8.25" customHeight="1">
      <c r="A38" s="87"/>
      <c r="BK38" s="41"/>
      <c r="BL38" s="41"/>
      <c r="BM38" s="41"/>
      <c r="BN38" s="41"/>
      <c r="BO38" s="44"/>
      <c r="BP38" s="41"/>
    </row>
    <row r="39" spans="1:68" ht="12.75">
      <c r="A39" s="91" t="s">
        <v>368</v>
      </c>
      <c r="B39" s="41">
        <v>0</v>
      </c>
      <c r="C39" s="41">
        <v>0</v>
      </c>
      <c r="D39" s="41">
        <v>1750794</v>
      </c>
      <c r="E39" s="41">
        <v>0</v>
      </c>
      <c r="F39" s="41">
        <v>0</v>
      </c>
      <c r="G39" s="41">
        <v>1415540</v>
      </c>
      <c r="H39" s="41">
        <v>0</v>
      </c>
      <c r="I39" s="41">
        <v>3966917</v>
      </c>
      <c r="J39" s="41">
        <v>1028360</v>
      </c>
      <c r="K39" s="41">
        <v>2840342</v>
      </c>
      <c r="L39" s="41">
        <v>2369035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41">
        <v>133325.244</v>
      </c>
      <c r="S39" s="41">
        <v>0</v>
      </c>
      <c r="T39" s="41">
        <v>345042</v>
      </c>
      <c r="U39" s="41">
        <v>0</v>
      </c>
      <c r="V39" s="41">
        <v>0</v>
      </c>
      <c r="W39" s="41">
        <v>0</v>
      </c>
      <c r="X39" s="41">
        <v>0</v>
      </c>
      <c r="Y39" s="41">
        <v>0</v>
      </c>
      <c r="Z39" s="41">
        <v>0</v>
      </c>
      <c r="AA39" s="41">
        <v>1571035</v>
      </c>
      <c r="AB39" s="41">
        <v>0</v>
      </c>
      <c r="AC39" s="41">
        <v>0</v>
      </c>
      <c r="AD39" s="41">
        <v>36294</v>
      </c>
      <c r="AE39" s="41">
        <v>7026</v>
      </c>
      <c r="AF39" s="41">
        <f>100355+14740</f>
        <v>115095</v>
      </c>
      <c r="AG39" s="41">
        <v>0</v>
      </c>
      <c r="AH39" s="41">
        <v>0</v>
      </c>
      <c r="AI39" s="41">
        <v>0</v>
      </c>
      <c r="AJ39" s="41">
        <v>0</v>
      </c>
      <c r="AK39" s="41">
        <v>514</v>
      </c>
      <c r="AL39" s="41">
        <v>0</v>
      </c>
      <c r="AM39" s="41">
        <v>0</v>
      </c>
      <c r="AN39" s="41">
        <v>203424</v>
      </c>
      <c r="AO39" s="41">
        <v>0</v>
      </c>
      <c r="AP39" s="41"/>
      <c r="AQ39" s="41">
        <v>0</v>
      </c>
      <c r="AR39" s="41"/>
      <c r="AS39" s="41">
        <v>38456</v>
      </c>
      <c r="AT39" s="41">
        <v>3836</v>
      </c>
      <c r="AU39" s="41">
        <v>0</v>
      </c>
      <c r="AV39" s="41">
        <v>0</v>
      </c>
      <c r="AW39" s="41">
        <v>69727.296</v>
      </c>
      <c r="AX39" s="41">
        <v>0</v>
      </c>
      <c r="AY39" s="41">
        <v>0</v>
      </c>
      <c r="AZ39" s="41">
        <v>0</v>
      </c>
      <c r="BA39" s="41">
        <v>0</v>
      </c>
      <c r="BB39" s="41">
        <v>0</v>
      </c>
      <c r="BC39" s="41">
        <v>0</v>
      </c>
      <c r="BD39" s="41">
        <v>0</v>
      </c>
      <c r="BE39" s="41">
        <v>0</v>
      </c>
      <c r="BF39" s="41">
        <v>0</v>
      </c>
      <c r="BG39" s="41">
        <v>0</v>
      </c>
      <c r="BH39" s="41">
        <v>0</v>
      </c>
      <c r="BI39" s="41">
        <v>0</v>
      </c>
      <c r="BK39" s="41">
        <f>SUM(B39:BJ39)</f>
        <v>15894762.540000001</v>
      </c>
      <c r="BL39" s="41"/>
      <c r="BM39" s="41">
        <f>C39+V39+AD39+AH39+AN39+AP39+AS39+AU39+AW39+AZ39+BB39+BD39+BE39+BG39</f>
        <v>347901.296</v>
      </c>
      <c r="BN39" s="41">
        <f>B39+D39+E39+F39+G39+H39+I39+J39+K39+L39+M39+N39+O39+P39+Q39+R39+S39+T39+U39+W39+X39+Y39+Z39+AA39+AB39+AC39+AE39+AF39+AG39+AI39+AJ39+AK39+AL39+AM39+AO39+AQ39+AT39+AV39+AX39+AY39+BA39+BC39+BH39+BI39+AR39+BF39</f>
        <v>15546861.244</v>
      </c>
      <c r="BO39" s="41"/>
      <c r="BP39" s="41"/>
    </row>
    <row r="40" spans="1:68" ht="12.75">
      <c r="A40" s="87" t="s">
        <v>370</v>
      </c>
      <c r="B40" s="2">
        <v>0</v>
      </c>
      <c r="C40" s="2">
        <v>0</v>
      </c>
      <c r="D40" s="2">
        <v>1502501</v>
      </c>
      <c r="E40" s="2">
        <v>0</v>
      </c>
      <c r="F40" s="2">
        <v>0</v>
      </c>
      <c r="G40" s="2">
        <v>1415540</v>
      </c>
      <c r="H40" s="2">
        <v>0</v>
      </c>
      <c r="I40" s="2">
        <v>0</v>
      </c>
      <c r="J40" s="2">
        <v>952409</v>
      </c>
      <c r="K40" s="2">
        <v>2527425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236565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">
        <v>1321080</v>
      </c>
      <c r="AB40" s="2">
        <v>0</v>
      </c>
      <c r="AC40" s="2">
        <v>0</v>
      </c>
      <c r="AD40" s="2">
        <v>24694</v>
      </c>
      <c r="AE40" s="2">
        <v>0</v>
      </c>
      <c r="AF40" s="2">
        <v>100355</v>
      </c>
      <c r="AG40" s="2">
        <v>0</v>
      </c>
      <c r="AH40" s="2">
        <v>0</v>
      </c>
      <c r="AI40" s="2">
        <v>0</v>
      </c>
      <c r="AJ40" s="2">
        <v>0</v>
      </c>
      <c r="AK40" s="2">
        <v>0</v>
      </c>
      <c r="AL40" s="2">
        <v>0</v>
      </c>
      <c r="AM40" s="2">
        <v>0</v>
      </c>
      <c r="AN40" s="2">
        <v>203424</v>
      </c>
      <c r="AO40" s="2">
        <v>0</v>
      </c>
      <c r="AP40" s="2"/>
      <c r="AQ40" s="2">
        <v>0</v>
      </c>
      <c r="AS40" s="2">
        <v>0</v>
      </c>
      <c r="AT40" s="2">
        <v>0</v>
      </c>
      <c r="AU40" s="2">
        <v>0</v>
      </c>
      <c r="AV40" s="2">
        <v>0</v>
      </c>
      <c r="AW40" s="2">
        <v>11856.246</v>
      </c>
      <c r="AX40" s="2">
        <v>0</v>
      </c>
      <c r="AY40" s="2">
        <v>0</v>
      </c>
      <c r="AZ40" s="2">
        <v>0</v>
      </c>
      <c r="BA40" s="2">
        <v>0</v>
      </c>
      <c r="BB40" s="2">
        <v>0</v>
      </c>
      <c r="BC40" s="2">
        <v>0</v>
      </c>
      <c r="BD40" s="2">
        <v>0</v>
      </c>
      <c r="BE40" s="2">
        <v>0</v>
      </c>
      <c r="BF40" s="2">
        <v>0</v>
      </c>
      <c r="BG40" s="2">
        <v>0</v>
      </c>
      <c r="BH40" s="2">
        <v>0</v>
      </c>
      <c r="BI40" s="2">
        <v>0</v>
      </c>
      <c r="BK40" s="41">
        <f>SUM(B40:BJ40)</f>
        <v>8295849.246</v>
      </c>
      <c r="BL40" s="41"/>
      <c r="BM40" s="41">
        <f>C40+V40+AD40+AH40+AN40+AP40+AS40+AU40+AW40+AZ40+BB40+BD40+BE40+BG40</f>
        <v>239974.24599999998</v>
      </c>
      <c r="BN40" s="41">
        <f>B40+D40+E40+F40+G40+H40+I40+J40+K40+L40+M40+N40+O40+P40+Q40+R40+S40+T40+U40+W40+X40+Y40+Z40+AA40+AB40+AC40+AE40+AF40+AG40+AI40+AJ40+AK40+AL40+AM40+AO40+AQ40+AT40+AV40+AX40+AY40+BA40+BC40+BH40+BI40+AR40+BF40</f>
        <v>8055875</v>
      </c>
      <c r="BO40" s="2"/>
      <c r="BP40" s="41"/>
    </row>
    <row r="41" spans="1:68" ht="8.25" customHeight="1">
      <c r="A41" s="89"/>
      <c r="BK41" s="41"/>
      <c r="BL41" s="41"/>
      <c r="BM41" s="41"/>
      <c r="BN41" s="41"/>
      <c r="BO41" s="44"/>
      <c r="BP41" s="41"/>
    </row>
    <row r="42" spans="1:68" ht="12.75">
      <c r="A42" s="23" t="s">
        <v>371</v>
      </c>
      <c r="BK42" s="41"/>
      <c r="BL42" s="41"/>
      <c r="BM42" s="41"/>
      <c r="BN42" s="41"/>
      <c r="BO42" s="82"/>
      <c r="BP42" s="41"/>
    </row>
    <row r="43" spans="1:68" ht="12.75">
      <c r="A43" s="92" t="s">
        <v>372</v>
      </c>
      <c r="B43" s="2">
        <v>9034634</v>
      </c>
      <c r="C43" s="2">
        <v>581871</v>
      </c>
      <c r="D43" s="2">
        <v>7010665</v>
      </c>
      <c r="E43" s="2">
        <v>2436196</v>
      </c>
      <c r="F43" s="2">
        <v>3535169</v>
      </c>
      <c r="G43" s="2">
        <f>2589073+1396</f>
        <v>2590469</v>
      </c>
      <c r="H43" s="2">
        <v>1128526</v>
      </c>
      <c r="I43" s="2">
        <v>155119</v>
      </c>
      <c r="J43" s="2">
        <v>3766726</v>
      </c>
      <c r="K43" s="2">
        <v>1929257</v>
      </c>
      <c r="L43" s="2">
        <v>2475143</v>
      </c>
      <c r="M43" s="2">
        <v>1332227</v>
      </c>
      <c r="N43" s="2">
        <v>181634</v>
      </c>
      <c r="O43" s="2">
        <v>848997</v>
      </c>
      <c r="P43" s="2">
        <v>941433</v>
      </c>
      <c r="Q43" s="2">
        <v>117330</v>
      </c>
      <c r="R43" s="2">
        <v>1325745</v>
      </c>
      <c r="S43" s="2">
        <v>711118</v>
      </c>
      <c r="T43" s="2">
        <v>1400155</v>
      </c>
      <c r="U43" s="2">
        <v>0</v>
      </c>
      <c r="V43" s="2">
        <v>54179</v>
      </c>
      <c r="W43" s="2">
        <v>175523</v>
      </c>
      <c r="X43" s="2">
        <v>873277</v>
      </c>
      <c r="Y43" s="2">
        <v>287682</v>
      </c>
      <c r="Z43" s="2">
        <v>0</v>
      </c>
      <c r="AA43" s="2">
        <v>133079</v>
      </c>
      <c r="AB43" s="2">
        <v>254663</v>
      </c>
      <c r="AC43" s="2">
        <v>317296</v>
      </c>
      <c r="AD43" s="2">
        <v>35</v>
      </c>
      <c r="AE43" s="2">
        <v>275053</v>
      </c>
      <c r="AF43" s="2">
        <f>225492-14740</f>
        <v>210752</v>
      </c>
      <c r="AG43" s="2">
        <v>659759</v>
      </c>
      <c r="AH43" s="2">
        <v>0</v>
      </c>
      <c r="AI43" s="2">
        <v>36066</v>
      </c>
      <c r="AJ43" s="2">
        <v>115243</v>
      </c>
      <c r="AK43" s="2">
        <v>19</v>
      </c>
      <c r="AL43" s="2">
        <v>0</v>
      </c>
      <c r="AM43" s="2">
        <v>39603</v>
      </c>
      <c r="AN43" s="2">
        <v>81177</v>
      </c>
      <c r="AO43" s="2">
        <v>50403</v>
      </c>
      <c r="AP43" s="2"/>
      <c r="AQ43" s="2">
        <v>104194</v>
      </c>
      <c r="AR43" s="2">
        <v>90541</v>
      </c>
      <c r="AS43" s="2">
        <v>7267</v>
      </c>
      <c r="AT43" s="2">
        <v>9014</v>
      </c>
      <c r="AU43" s="2">
        <v>0</v>
      </c>
      <c r="AV43" s="2">
        <v>1353</v>
      </c>
      <c r="AW43" s="2">
        <v>249.6</v>
      </c>
      <c r="AX43" s="2">
        <v>2561</v>
      </c>
      <c r="AY43" s="2">
        <v>283</v>
      </c>
      <c r="AZ43" s="2">
        <f>1746+5821</f>
        <v>7567</v>
      </c>
      <c r="BA43" s="2">
        <v>1296</v>
      </c>
      <c r="BB43" s="2">
        <v>0</v>
      </c>
      <c r="BC43" s="2">
        <v>1481</v>
      </c>
      <c r="BD43" s="2">
        <v>15383</v>
      </c>
      <c r="BE43" s="2">
        <v>0</v>
      </c>
      <c r="BF43" s="2">
        <v>0</v>
      </c>
      <c r="BG43" s="2">
        <v>10000</v>
      </c>
      <c r="BH43" s="2">
        <v>0</v>
      </c>
      <c r="BI43" s="2">
        <v>0</v>
      </c>
      <c r="BK43" s="41">
        <f>SUM(B43:BJ43)</f>
        <v>45317412.6</v>
      </c>
      <c r="BL43" s="41"/>
      <c r="BM43" s="41">
        <f>C43+V43+AD43+AH43+AN43+AP43+AS43+AU43+AW43+AZ43+BB43+BD43+BE43+BG43</f>
        <v>757728.6</v>
      </c>
      <c r="BN43" s="41">
        <f>B43+D43+E43+F43+G43+H43+I43+J43+K43+L43+M43+N43+O43+P43+Q43+R43+S43+T43+U43+W43+X43+Y43+Z43+AA43+AB43+AC43+AE43+AF43+AG43+AI43+AJ43+AK43+AL43+AM43+AO43+AQ43+AT43+AV43+AX43+AY43+BA43+BC43+BH43+BI43+AR43+BF43</f>
        <v>44559684</v>
      </c>
      <c r="BO43" s="2"/>
      <c r="BP43" s="41"/>
    </row>
    <row r="44" spans="1:68" ht="12.75">
      <c r="A44" s="92" t="s">
        <v>373</v>
      </c>
      <c r="B44" s="2">
        <v>7458594</v>
      </c>
      <c r="C44" s="2">
        <v>6384452</v>
      </c>
      <c r="D44" s="2">
        <v>7232605</v>
      </c>
      <c r="E44" s="2">
        <v>2015241</v>
      </c>
      <c r="F44" s="2">
        <v>3995887</v>
      </c>
      <c r="G44" s="2">
        <v>2754308</v>
      </c>
      <c r="H44" s="2">
        <v>440173</v>
      </c>
      <c r="I44" s="2">
        <v>0</v>
      </c>
      <c r="J44" s="2">
        <v>0</v>
      </c>
      <c r="K44" s="2">
        <v>67987</v>
      </c>
      <c r="L44" s="2">
        <v>358315</v>
      </c>
      <c r="M44" s="2">
        <v>2036037</v>
      </c>
      <c r="N44" s="2">
        <v>25000</v>
      </c>
      <c r="O44" s="2">
        <v>95132</v>
      </c>
      <c r="P44" s="2">
        <v>3859132</v>
      </c>
      <c r="Q44" s="2">
        <v>723630</v>
      </c>
      <c r="R44" s="2">
        <v>863729</v>
      </c>
      <c r="S44" s="2">
        <v>1232641</v>
      </c>
      <c r="T44" s="2">
        <v>657731</v>
      </c>
      <c r="U44" s="2">
        <v>0</v>
      </c>
      <c r="V44" s="2">
        <v>704258</v>
      </c>
      <c r="W44" s="2">
        <v>0</v>
      </c>
      <c r="X44" s="2">
        <v>0</v>
      </c>
      <c r="Y44" s="2">
        <v>283192</v>
      </c>
      <c r="Z44" s="2">
        <v>0</v>
      </c>
      <c r="AA44" s="2">
        <v>43593</v>
      </c>
      <c r="AB44" s="2">
        <v>0</v>
      </c>
      <c r="AC44" s="2">
        <v>22851</v>
      </c>
      <c r="AD44" s="2">
        <v>0</v>
      </c>
      <c r="AE44" s="2">
        <v>199624</v>
      </c>
      <c r="AF44" s="2">
        <v>0</v>
      </c>
      <c r="AG44" s="2">
        <v>0</v>
      </c>
      <c r="AH44" s="2">
        <v>0</v>
      </c>
      <c r="AI44" s="2">
        <v>15772</v>
      </c>
      <c r="AJ44" s="2">
        <v>0</v>
      </c>
      <c r="AK44" s="2">
        <v>0</v>
      </c>
      <c r="AL44" s="2">
        <v>0</v>
      </c>
      <c r="AM44" s="2">
        <v>10000</v>
      </c>
      <c r="AN44" s="2">
        <v>0</v>
      </c>
      <c r="AO44" s="2">
        <v>0</v>
      </c>
      <c r="AP44" s="2"/>
      <c r="AQ44" s="2">
        <v>0</v>
      </c>
      <c r="AR44" s="2">
        <v>31442</v>
      </c>
      <c r="AS44" s="2">
        <v>0</v>
      </c>
      <c r="AT44" s="2">
        <v>0</v>
      </c>
      <c r="AU44" s="2">
        <v>0</v>
      </c>
      <c r="AV44" s="2">
        <v>5000</v>
      </c>
      <c r="AW44" s="2">
        <v>0</v>
      </c>
      <c r="AX44" s="2">
        <v>0</v>
      </c>
      <c r="AY44" s="2">
        <v>0</v>
      </c>
      <c r="AZ44" s="2">
        <v>0</v>
      </c>
      <c r="BA44" s="2">
        <v>0</v>
      </c>
      <c r="BB44" s="2">
        <v>0</v>
      </c>
      <c r="BC44" s="2">
        <v>0</v>
      </c>
      <c r="BD44" s="2">
        <v>0</v>
      </c>
      <c r="BE44" s="2">
        <v>0</v>
      </c>
      <c r="BF44" s="2">
        <v>0</v>
      </c>
      <c r="BG44" s="2">
        <v>0</v>
      </c>
      <c r="BH44" s="2">
        <v>0</v>
      </c>
      <c r="BI44" s="2">
        <v>0</v>
      </c>
      <c r="BK44" s="41">
        <f>SUM(B44:BJ44)</f>
        <v>41516326</v>
      </c>
      <c r="BL44" s="41"/>
      <c r="BM44" s="41">
        <f>C44+V44+AD44+AH44+AN44+AP44+AS44+AU44+AW44+AZ44+BB44+BD44+BE44+BG44</f>
        <v>7088710</v>
      </c>
      <c r="BN44" s="41">
        <f>B44+D44+E44+F44+G44+H44+I44+J44+K44+L44+M44+N44+O44+P44+Q44+R44+S44+T44+U44+W44+X44+Y44+Z44+AA44+AB44+AC44+AE44+AF44+AG44+AI44+AJ44+AK44+AL44+AM44+AO44+AQ44+AT44+AV44+AX44+AY44+BA44+BC44+BH44+BI44+AR44+BF44</f>
        <v>34427616</v>
      </c>
      <c r="BO44" s="2"/>
      <c r="BP44" s="41"/>
    </row>
    <row r="45" spans="1:68" ht="12.75">
      <c r="A45" s="50" t="s">
        <v>411</v>
      </c>
      <c r="B45" s="41">
        <f>B43+B44</f>
        <v>16493228</v>
      </c>
      <c r="C45" s="41">
        <f>C43+C44</f>
        <v>6966323</v>
      </c>
      <c r="D45" s="41">
        <f aca="true" t="shared" si="9" ref="D45:BH45">D43+D44</f>
        <v>14243270</v>
      </c>
      <c r="E45" s="41">
        <f>E43+E44</f>
        <v>4451437</v>
      </c>
      <c r="F45" s="41">
        <f t="shared" si="9"/>
        <v>7531056</v>
      </c>
      <c r="G45" s="41">
        <f t="shared" si="9"/>
        <v>5344777</v>
      </c>
      <c r="H45" s="41">
        <f t="shared" si="9"/>
        <v>1568699</v>
      </c>
      <c r="I45" s="41">
        <f t="shared" si="9"/>
        <v>155119</v>
      </c>
      <c r="J45" s="41">
        <f t="shared" si="9"/>
        <v>3766726</v>
      </c>
      <c r="K45" s="41">
        <f t="shared" si="9"/>
        <v>1997244</v>
      </c>
      <c r="L45" s="41">
        <f t="shared" si="9"/>
        <v>2833458</v>
      </c>
      <c r="M45" s="41">
        <f>M43+M44</f>
        <v>3368264</v>
      </c>
      <c r="N45" s="41">
        <f t="shared" si="9"/>
        <v>206634</v>
      </c>
      <c r="O45" s="41">
        <f t="shared" si="9"/>
        <v>944129</v>
      </c>
      <c r="P45" s="41">
        <f>P43+P44</f>
        <v>4800565</v>
      </c>
      <c r="Q45" s="41">
        <f t="shared" si="9"/>
        <v>840960</v>
      </c>
      <c r="R45" s="41">
        <f t="shared" si="9"/>
        <v>2189474</v>
      </c>
      <c r="S45" s="41">
        <f>S43+S44</f>
        <v>1943759</v>
      </c>
      <c r="T45" s="41">
        <f t="shared" si="9"/>
        <v>2057886</v>
      </c>
      <c r="U45" s="41">
        <f>U43+U44</f>
        <v>0</v>
      </c>
      <c r="V45" s="41">
        <f>V43+V44</f>
        <v>758437</v>
      </c>
      <c r="W45" s="41">
        <f>W43+W44</f>
        <v>175523</v>
      </c>
      <c r="X45" s="41">
        <f t="shared" si="9"/>
        <v>873277</v>
      </c>
      <c r="Y45" s="41">
        <f>Y43+Y44</f>
        <v>570874</v>
      </c>
      <c r="Z45" s="41">
        <f t="shared" si="9"/>
        <v>0</v>
      </c>
      <c r="AA45" s="41">
        <f t="shared" si="9"/>
        <v>176672</v>
      </c>
      <c r="AB45" s="41">
        <f>AB43+AB44</f>
        <v>254663</v>
      </c>
      <c r="AC45" s="41">
        <f>AC43+AC44</f>
        <v>340147</v>
      </c>
      <c r="AD45" s="41">
        <f t="shared" si="9"/>
        <v>35</v>
      </c>
      <c r="AE45" s="41">
        <f>AE43+AE44</f>
        <v>474677</v>
      </c>
      <c r="AF45" s="41">
        <f t="shared" si="9"/>
        <v>210752</v>
      </c>
      <c r="AG45" s="41">
        <f t="shared" si="9"/>
        <v>659759</v>
      </c>
      <c r="AH45" s="41">
        <f t="shared" si="9"/>
        <v>0</v>
      </c>
      <c r="AI45" s="41">
        <f>AI43+AI44</f>
        <v>51838</v>
      </c>
      <c r="AJ45" s="41">
        <f t="shared" si="9"/>
        <v>115243</v>
      </c>
      <c r="AK45" s="41">
        <f t="shared" si="9"/>
        <v>19</v>
      </c>
      <c r="AL45" s="41">
        <f>AL43+AL44</f>
        <v>0</v>
      </c>
      <c r="AM45" s="41">
        <f t="shared" si="9"/>
        <v>49603</v>
      </c>
      <c r="AN45" s="41">
        <f t="shared" si="9"/>
        <v>81177</v>
      </c>
      <c r="AO45" s="41">
        <f t="shared" si="9"/>
        <v>50403</v>
      </c>
      <c r="AP45" s="41"/>
      <c r="AQ45" s="41">
        <f t="shared" si="9"/>
        <v>104194</v>
      </c>
      <c r="AR45" s="41">
        <f>AR43+AR44</f>
        <v>121983</v>
      </c>
      <c r="AS45" s="41">
        <f t="shared" si="9"/>
        <v>7267</v>
      </c>
      <c r="AT45" s="41">
        <f t="shared" si="9"/>
        <v>9014</v>
      </c>
      <c r="AU45" s="41">
        <f t="shared" si="9"/>
        <v>0</v>
      </c>
      <c r="AV45" s="41">
        <f t="shared" si="9"/>
        <v>6353</v>
      </c>
      <c r="AW45" s="41">
        <f>AW43+AW44</f>
        <v>249.6</v>
      </c>
      <c r="AX45" s="41">
        <f t="shared" si="9"/>
        <v>2561</v>
      </c>
      <c r="AY45" s="41">
        <f t="shared" si="9"/>
        <v>283</v>
      </c>
      <c r="AZ45" s="41">
        <f>AZ43+AZ44</f>
        <v>7567</v>
      </c>
      <c r="BA45" s="41">
        <f>BA43+BA44</f>
        <v>1296</v>
      </c>
      <c r="BB45" s="41">
        <f t="shared" si="9"/>
        <v>0</v>
      </c>
      <c r="BC45" s="41">
        <f>BC43+BC44</f>
        <v>1481</v>
      </c>
      <c r="BD45" s="41">
        <f>BD43+BD44</f>
        <v>15383</v>
      </c>
      <c r="BE45" s="41">
        <f>BE43+BE44</f>
        <v>0</v>
      </c>
      <c r="BF45" s="41">
        <f>BF43+BF44</f>
        <v>0</v>
      </c>
      <c r="BG45" s="41">
        <f>BG43+BG44</f>
        <v>10000</v>
      </c>
      <c r="BH45" s="41">
        <f t="shared" si="9"/>
        <v>0</v>
      </c>
      <c r="BI45" s="41">
        <f>BI43+BI44</f>
        <v>0</v>
      </c>
      <c r="BK45" s="41">
        <f>SUM(B45:BJ45)</f>
        <v>86833738.6</v>
      </c>
      <c r="BL45" s="41"/>
      <c r="BM45" s="41">
        <f>C45+V45+AD45+AH45+AN45+AP45+AS45+AU45+AW45+AZ45+BB45+BD45+BE45+BG45</f>
        <v>7846438.6</v>
      </c>
      <c r="BN45" s="41">
        <f>B45+D45+E45+F45+G45+H45+I45+J45+K45+L45+M45+N45+O45+P45+Q45+R45+S45+T45+U45+W45+X45+Y45+Z45+AA45+AB45+AC45+AE45+AF45+AG45+AI45+AJ45+AK45+AL45+AM45+AO45+AQ45+AT45+AV45+AX45+AY45+BA45+BC45+BH45+BI45+AR45+BF45</f>
        <v>78987300</v>
      </c>
      <c r="BO45" s="41"/>
      <c r="BP45" s="41"/>
    </row>
    <row r="46" spans="1:68" ht="8.25" customHeight="1">
      <c r="A46" s="50"/>
      <c r="BK46" s="41"/>
      <c r="BL46" s="41"/>
      <c r="BM46" s="41"/>
      <c r="BN46" s="41"/>
      <c r="BO46" s="44"/>
      <c r="BP46" s="41"/>
    </row>
    <row r="47" spans="1:68" ht="12.75">
      <c r="A47" s="23" t="s">
        <v>374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495852</v>
      </c>
      <c r="H47" s="2">
        <v>0</v>
      </c>
      <c r="I47" s="2">
        <v>0</v>
      </c>
      <c r="J47" s="2">
        <v>13309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1126246</v>
      </c>
      <c r="Q47" s="2">
        <v>0</v>
      </c>
      <c r="R47" s="2">
        <v>690263</v>
      </c>
      <c r="S47" s="2">
        <v>0</v>
      </c>
      <c r="T47" s="2">
        <v>22039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416877</v>
      </c>
      <c r="AB47" s="2">
        <v>0</v>
      </c>
      <c r="AC47" s="2">
        <v>0</v>
      </c>
      <c r="AD47" s="2">
        <v>3018</v>
      </c>
      <c r="AE47" s="2">
        <v>0</v>
      </c>
      <c r="AF47" s="2">
        <v>0</v>
      </c>
      <c r="AG47" s="2">
        <v>0</v>
      </c>
      <c r="AH47" s="2">
        <v>0</v>
      </c>
      <c r="AI47" s="2">
        <v>19255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  <c r="AO47" s="2">
        <v>0</v>
      </c>
      <c r="AP47" s="2"/>
      <c r="AQ47" s="2">
        <v>0</v>
      </c>
      <c r="AR47" s="2">
        <v>0</v>
      </c>
      <c r="AS47" s="2">
        <v>0</v>
      </c>
      <c r="AT47" s="2">
        <v>134281</v>
      </c>
      <c r="AU47" s="2">
        <v>0</v>
      </c>
      <c r="AV47" s="2">
        <v>0</v>
      </c>
      <c r="AW47" s="2">
        <v>0</v>
      </c>
      <c r="AX47" s="2">
        <v>0</v>
      </c>
      <c r="AY47" s="2">
        <v>0</v>
      </c>
      <c r="AZ47" s="2">
        <v>0</v>
      </c>
      <c r="BA47" s="2">
        <v>0</v>
      </c>
      <c r="BB47" s="2">
        <v>0</v>
      </c>
      <c r="BC47" s="2">
        <v>0</v>
      </c>
      <c r="BD47" s="2">
        <v>0</v>
      </c>
      <c r="BE47" s="2">
        <v>0</v>
      </c>
      <c r="BF47" s="2">
        <v>0</v>
      </c>
      <c r="BG47" s="2">
        <v>0</v>
      </c>
      <c r="BH47" s="2">
        <v>1728</v>
      </c>
      <c r="BI47" s="2">
        <v>0</v>
      </c>
      <c r="BK47" s="41">
        <f>SUM(B47:BJ47)</f>
        <v>2922868</v>
      </c>
      <c r="BL47" s="41"/>
      <c r="BM47" s="41">
        <f>C47+V47+AD47+AH47+AN47+AP47+AS47+AU47+AW47+AZ47+BB47+BD47+BE47+BG47</f>
        <v>3018</v>
      </c>
      <c r="BN47" s="41">
        <f>B47+D47+E47+F47+G47+H47+I47+J47+K47+L47+M47+N47+O47+P47+Q47+R47+S47+T47+U47+W47+X47+Y47+Z47+AA47+AB47+AC47+AE47+AF47+AG47+AI47+AJ47+AK47+AL47+AM47+AO47+AQ47+AT47+AV47+AX47+AY47+BA47+BC47+BH47+BI47+AR47+BF47</f>
        <v>2919850</v>
      </c>
      <c r="BO47" s="2"/>
      <c r="BP47" s="41"/>
    </row>
    <row r="48" spans="1:68" ht="8.25" customHeight="1">
      <c r="A48" s="10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K48" s="41"/>
      <c r="BL48" s="41"/>
      <c r="BM48" s="41"/>
      <c r="BN48" s="41"/>
      <c r="BO48" s="2"/>
      <c r="BP48" s="41"/>
    </row>
    <row r="49" spans="1:68" ht="12.75">
      <c r="A49" s="23" t="s">
        <v>375</v>
      </c>
      <c r="B49" s="2">
        <v>0</v>
      </c>
      <c r="C49" s="2">
        <v>4582</v>
      </c>
      <c r="D49" s="2">
        <v>272824</v>
      </c>
      <c r="E49" s="2">
        <v>0</v>
      </c>
      <c r="F49" s="2">
        <v>180</v>
      </c>
      <c r="G49" s="2">
        <v>0</v>
      </c>
      <c r="H49" s="2">
        <v>0</v>
      </c>
      <c r="I49" s="2">
        <v>0</v>
      </c>
      <c r="J49" s="2">
        <v>198850</v>
      </c>
      <c r="K49" s="2">
        <f>85572+91949</f>
        <v>177521</v>
      </c>
      <c r="L49" s="2">
        <v>75091</v>
      </c>
      <c r="M49" s="2">
        <v>34359</v>
      </c>
      <c r="N49" s="2">
        <v>2730523</v>
      </c>
      <c r="O49" s="2">
        <v>25681</v>
      </c>
      <c r="P49" s="2">
        <v>0</v>
      </c>
      <c r="Q49" s="2">
        <f>3250+20606</f>
        <v>23856</v>
      </c>
      <c r="R49" s="2">
        <v>5934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f>305+18821</f>
        <v>19126</v>
      </c>
      <c r="AB49" s="2">
        <v>0</v>
      </c>
      <c r="AC49" s="2">
        <v>8582</v>
      </c>
      <c r="AD49" s="2">
        <v>0</v>
      </c>
      <c r="AE49" s="2">
        <v>1991.649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  <c r="AO49" s="2">
        <v>0</v>
      </c>
      <c r="AP49" s="2"/>
      <c r="AQ49" s="2">
        <v>0</v>
      </c>
      <c r="AR49" s="2">
        <v>0</v>
      </c>
      <c r="AS49" s="2">
        <v>0</v>
      </c>
      <c r="AT49" s="2">
        <v>984</v>
      </c>
      <c r="AU49" s="2">
        <v>0</v>
      </c>
      <c r="AV49" s="2">
        <v>0</v>
      </c>
      <c r="AW49" s="2">
        <v>0</v>
      </c>
      <c r="AX49" s="2">
        <v>0</v>
      </c>
      <c r="AY49" s="2">
        <v>0</v>
      </c>
      <c r="AZ49" s="2">
        <v>0</v>
      </c>
      <c r="BA49" s="2">
        <v>0</v>
      </c>
      <c r="BB49" s="2">
        <v>0</v>
      </c>
      <c r="BC49" s="2">
        <v>0</v>
      </c>
      <c r="BD49" s="2">
        <v>0</v>
      </c>
      <c r="BE49" s="2">
        <v>0</v>
      </c>
      <c r="BF49" s="2">
        <v>0</v>
      </c>
      <c r="BG49" s="2">
        <v>0</v>
      </c>
      <c r="BH49" s="2">
        <v>0</v>
      </c>
      <c r="BI49" s="2">
        <v>0</v>
      </c>
      <c r="BK49" s="41">
        <f>SUM(B49:BJ49)</f>
        <v>3580084.649</v>
      </c>
      <c r="BL49" s="41"/>
      <c r="BM49" s="41">
        <f>C49+V49+AD49+AH49+AN49+AP49+AS49+AU49+AW49+AZ49+BB49+BD49+BE49+BG49</f>
        <v>4582</v>
      </c>
      <c r="BN49" s="41">
        <f>B49+D49+E49+F49+G49+H49+I49+J49+K49+L49+M49+N49+O49+P49+Q49+R49+S49+T49+U49+W49+X49+Y49+Z49+AA49+AB49+AC49+AE49+AF49+AG49+AI49+AJ49+AK49+AL49+AM49+AO49+AQ49+AT49+AV49+AX49+AY49+BA49+BC49+BH49+BI49+AR49+BF49</f>
        <v>3575502.649</v>
      </c>
      <c r="BO49" s="2"/>
      <c r="BP49" s="41"/>
    </row>
    <row r="50" spans="1:68" ht="8.25" customHeight="1">
      <c r="A50" s="23"/>
      <c r="BK50" s="41"/>
      <c r="BL50" s="41"/>
      <c r="BM50" s="41"/>
      <c r="BN50" s="41"/>
      <c r="BO50" s="44"/>
      <c r="BP50" s="41"/>
    </row>
    <row r="51" spans="1:68" ht="12.75">
      <c r="A51" s="23" t="s">
        <v>387</v>
      </c>
      <c r="B51" s="41">
        <f>B21+B32+B34+B36+B39+B45+B47+B49</f>
        <v>75543266</v>
      </c>
      <c r="C51" s="41">
        <f>C21+C32+C34+C36+C39+C45+C47+C49</f>
        <v>59496812</v>
      </c>
      <c r="D51" s="41">
        <f aca="true" t="shared" si="10" ref="D51:BH51">D21+D32+D34+D36+D39+D45+D47+D49</f>
        <v>45814347</v>
      </c>
      <c r="E51" s="41">
        <f>E21+E32+E34+E36+E39+E45+E47+E49</f>
        <v>38447265</v>
      </c>
      <c r="F51" s="41">
        <f t="shared" si="10"/>
        <v>38446201</v>
      </c>
      <c r="G51" s="41">
        <f t="shared" si="10"/>
        <v>18513533</v>
      </c>
      <c r="H51" s="41">
        <f t="shared" si="10"/>
        <v>17649109</v>
      </c>
      <c r="I51" s="41">
        <f t="shared" si="10"/>
        <v>16404920</v>
      </c>
      <c r="J51" s="41">
        <f t="shared" si="10"/>
        <v>14267363</v>
      </c>
      <c r="K51" s="41">
        <f t="shared" si="10"/>
        <v>14396324</v>
      </c>
      <c r="L51" s="41">
        <f t="shared" si="10"/>
        <v>13240592</v>
      </c>
      <c r="M51" s="41">
        <f>M21+M32+M34+M36+M39+M45+M47+M49</f>
        <v>12038765</v>
      </c>
      <c r="N51" s="41">
        <f t="shared" si="10"/>
        <v>11304025</v>
      </c>
      <c r="O51" s="41">
        <f t="shared" si="10"/>
        <v>11308931</v>
      </c>
      <c r="P51" s="41">
        <f>P21+P32+P34+P36+P39+P45+P47+P49</f>
        <v>10255185</v>
      </c>
      <c r="Q51" s="41">
        <f t="shared" si="10"/>
        <v>9236257</v>
      </c>
      <c r="R51" s="41">
        <f t="shared" si="10"/>
        <v>9230667.243999999</v>
      </c>
      <c r="S51" s="41">
        <f>S21+S32+S34+S36+S39+S45+S47+S49</f>
        <v>7377418</v>
      </c>
      <c r="T51" s="41">
        <f t="shared" si="10"/>
        <v>6553718</v>
      </c>
      <c r="U51" s="41">
        <f>U21+U32+U34+U36+U39+U45+U47+U49</f>
        <v>6529553</v>
      </c>
      <c r="V51" s="41">
        <f>V21+V32+V34+V36+V39+V45+V47+V49</f>
        <v>6119306</v>
      </c>
      <c r="W51" s="41">
        <f>W21+W32+W34+W36+W39+W45+W47+W49</f>
        <v>6021945</v>
      </c>
      <c r="X51" s="41">
        <f t="shared" si="10"/>
        <v>5969050</v>
      </c>
      <c r="Y51" s="41">
        <f>Y21+Y32+Y34+Y36+Y39+Y45+Y47+Y49</f>
        <v>5433559</v>
      </c>
      <c r="Z51" s="41">
        <f t="shared" si="10"/>
        <v>5073360</v>
      </c>
      <c r="AA51" s="41">
        <f t="shared" si="10"/>
        <v>4878655</v>
      </c>
      <c r="AB51" s="41">
        <f>AB21+AB32+AB34+AB36+AB39+AB45+AB47+AB49</f>
        <v>3479375</v>
      </c>
      <c r="AC51" s="41">
        <f>AC21+AC32+AC34+AC36+AC39+AC45+AC47+AC49</f>
        <v>2364818</v>
      </c>
      <c r="AD51" s="41">
        <f t="shared" si="10"/>
        <v>2342456</v>
      </c>
      <c r="AE51" s="41">
        <f>AE21+AE32+AE34+AE36+AE39+AE45+AE47+AE49</f>
        <v>2531700.649</v>
      </c>
      <c r="AF51" s="41">
        <f t="shared" si="10"/>
        <v>2800445</v>
      </c>
      <c r="AG51" s="41">
        <f t="shared" si="10"/>
        <v>2718510</v>
      </c>
      <c r="AH51" s="41">
        <f t="shared" si="10"/>
        <v>2524709</v>
      </c>
      <c r="AI51" s="41">
        <f>AI21+AI32+AI34+AI36+AI39+AI45+AI47+AI49</f>
        <v>1876613</v>
      </c>
      <c r="AJ51" s="41">
        <f t="shared" si="10"/>
        <v>1935276</v>
      </c>
      <c r="AK51" s="41">
        <f t="shared" si="10"/>
        <v>1235080</v>
      </c>
      <c r="AL51" s="41">
        <f>AL21+AL32+AL34+AL36+AL39+AL45+AL47+AL49</f>
        <v>1515825</v>
      </c>
      <c r="AM51" s="41">
        <f t="shared" si="10"/>
        <v>1647378</v>
      </c>
      <c r="AN51" s="41">
        <f t="shared" si="10"/>
        <v>1209679</v>
      </c>
      <c r="AO51" s="41">
        <f t="shared" si="10"/>
        <v>1154612</v>
      </c>
      <c r="AP51" s="41"/>
      <c r="AQ51" s="41">
        <f t="shared" si="10"/>
        <v>1079439</v>
      </c>
      <c r="AR51" s="41">
        <f>AR21+AR32+AR34+AR36+AR39+AR45+AR47+AR49</f>
        <v>957694</v>
      </c>
      <c r="AS51" s="41">
        <f t="shared" si="10"/>
        <v>976469</v>
      </c>
      <c r="AT51" s="41">
        <f t="shared" si="10"/>
        <v>878841</v>
      </c>
      <c r="AU51" s="41">
        <f t="shared" si="10"/>
        <v>710744</v>
      </c>
      <c r="AV51" s="41">
        <f t="shared" si="10"/>
        <v>664721</v>
      </c>
      <c r="AW51" s="41">
        <f>AW21+AW32+AW34+AW36+AW39+AW45+AW47+AW49</f>
        <v>439473.1379999999</v>
      </c>
      <c r="AX51" s="41">
        <f t="shared" si="10"/>
        <v>574407</v>
      </c>
      <c r="AY51" s="41">
        <f t="shared" si="10"/>
        <v>460044</v>
      </c>
      <c r="AZ51" s="41">
        <f>AZ21+AZ32+AZ34+AZ36+AZ39+AZ45+AZ47+AZ49</f>
        <v>380067</v>
      </c>
      <c r="BA51" s="41">
        <f>BA21+BA32+BA34+BA36+BA39+BA45+BA47+BA49</f>
        <v>381610</v>
      </c>
      <c r="BB51" s="41">
        <f t="shared" si="10"/>
        <v>252815</v>
      </c>
      <c r="BC51" s="41">
        <f>BC21+BC32+BC34+BC36+BC39+BC45+BC47+BC49</f>
        <v>163601</v>
      </c>
      <c r="BD51" s="41">
        <f>BD21+BD32+BD34+BD36+BD39+BD45+BD47+BD49</f>
        <v>110892</v>
      </c>
      <c r="BE51" s="41">
        <f>BE21+BE32+BE34+BE36+BE39+BE45+BE47+BE49</f>
        <v>91711</v>
      </c>
      <c r="BF51" s="41">
        <f>BF21+BF32+BF34+BF36+BF39+BF45+BF47+BF49</f>
        <v>101386.519</v>
      </c>
      <c r="BG51" s="41">
        <f>BG21+BG32+BG34+BG36+BG39+BG45+BG47+BG49</f>
        <v>58348</v>
      </c>
      <c r="BH51" s="41">
        <f t="shared" si="10"/>
        <v>39726.805</v>
      </c>
      <c r="BI51" s="41">
        <f>BI21+BI32+BI34+BI36+BI39+BI45+BI47+BI49</f>
        <v>9659</v>
      </c>
      <c r="BK51" s="41">
        <f>SUM(B51:BJ51)</f>
        <v>507218251.355</v>
      </c>
      <c r="BL51" s="41"/>
      <c r="BM51" s="41">
        <f>C51+V51+AD51+AH51+AN51+AP51+AS51+AU51+AW51+AZ51+BB51+BD51+BE51+BG51</f>
        <v>74713481.138</v>
      </c>
      <c r="BN51" s="41">
        <f>B51+D51+E51+F51+G51+H51+I51+J51+K51+L51+M51+N51+O51+P51+Q51+R51+S51+T51+U51+W51+X51+Y51+Z51+AA51+AB51+AC51+AE51+AF51+AG51+AI51+AJ51+AK51+AL51+AM51+AO51+AQ51+AT51+AV51+AX51+AY51+BA51+BC51+BH51+BI51+AR51+BF51</f>
        <v>432504770.217</v>
      </c>
      <c r="BO51" s="41"/>
      <c r="BP51" s="41"/>
    </row>
    <row r="52" spans="1:68" ht="8.25" customHeight="1">
      <c r="A52" s="23"/>
      <c r="BK52" s="41"/>
      <c r="BL52" s="41"/>
      <c r="BM52" s="41"/>
      <c r="BN52" s="41"/>
      <c r="BO52" s="44"/>
      <c r="BP52" s="41"/>
    </row>
    <row r="53" spans="1:68" ht="12.75">
      <c r="A53" s="93" t="s">
        <v>425</v>
      </c>
      <c r="BK53" s="41"/>
      <c r="BL53" s="41"/>
      <c r="BM53" s="41"/>
      <c r="BN53" s="41"/>
      <c r="BO53" s="44"/>
      <c r="BP53" s="41"/>
    </row>
    <row r="54" spans="1:68" ht="12.75">
      <c r="A54" s="100" t="s">
        <v>427</v>
      </c>
      <c r="BK54" s="41"/>
      <c r="BL54" s="41"/>
      <c r="BM54" s="41"/>
      <c r="BN54" s="41"/>
      <c r="BO54" s="44"/>
      <c r="BP54" s="41"/>
    </row>
    <row r="55" spans="1:68" ht="12.75">
      <c r="A55" s="94" t="s">
        <v>378</v>
      </c>
      <c r="B55" s="2">
        <v>8586215</v>
      </c>
      <c r="C55" s="2">
        <v>581385</v>
      </c>
      <c r="D55" s="2">
        <v>6696452</v>
      </c>
      <c r="E55" s="2">
        <v>2205010</v>
      </c>
      <c r="F55" s="2">
        <v>3473948</v>
      </c>
      <c r="G55" s="2">
        <v>2340517</v>
      </c>
      <c r="H55" s="2">
        <v>1115630</v>
      </c>
      <c r="I55" s="2">
        <v>155018</v>
      </c>
      <c r="J55" s="2">
        <v>2731348</v>
      </c>
      <c r="K55" s="2">
        <v>1879604</v>
      </c>
      <c r="L55" s="2">
        <v>2201384</v>
      </c>
      <c r="M55" s="2">
        <v>1318015</v>
      </c>
      <c r="N55" s="2">
        <v>156945</v>
      </c>
      <c r="O55" s="2">
        <v>760636</v>
      </c>
      <c r="P55" s="2">
        <v>941433</v>
      </c>
      <c r="Q55" s="2">
        <v>23112</v>
      </c>
      <c r="R55" s="2">
        <v>1291472</v>
      </c>
      <c r="S55" s="2">
        <v>711118</v>
      </c>
      <c r="T55" s="2">
        <v>1316989</v>
      </c>
      <c r="U55" s="2">
        <v>0</v>
      </c>
      <c r="V55" s="2">
        <v>54119</v>
      </c>
      <c r="W55" s="2">
        <v>175455</v>
      </c>
      <c r="X55" s="2">
        <v>852977</v>
      </c>
      <c r="Y55" s="2">
        <v>286635</v>
      </c>
      <c r="Z55" s="2">
        <v>0</v>
      </c>
      <c r="AA55" s="2">
        <v>108621</v>
      </c>
      <c r="AB55" s="2">
        <v>241288</v>
      </c>
      <c r="AC55" s="2">
        <v>0</v>
      </c>
      <c r="AD55" s="2">
        <v>0</v>
      </c>
      <c r="AE55" s="2">
        <v>179188</v>
      </c>
      <c r="AF55" s="2">
        <f>225492-14740</f>
        <v>210752</v>
      </c>
      <c r="AG55" s="2">
        <v>659759</v>
      </c>
      <c r="AH55" s="2">
        <v>0</v>
      </c>
      <c r="AI55" s="2">
        <v>33519</v>
      </c>
      <c r="AJ55" s="2">
        <v>115221</v>
      </c>
      <c r="AK55" s="2">
        <v>0</v>
      </c>
      <c r="AL55" s="2">
        <v>0</v>
      </c>
      <c r="AM55" s="2">
        <v>39603</v>
      </c>
      <c r="AN55" s="2">
        <v>40137</v>
      </c>
      <c r="AO55" s="2">
        <v>49939</v>
      </c>
      <c r="AP55" s="2"/>
      <c r="AQ55" s="2">
        <v>104183</v>
      </c>
      <c r="AR55" s="2">
        <v>90148</v>
      </c>
      <c r="AS55" s="2">
        <v>7267</v>
      </c>
      <c r="AT55" s="2">
        <v>7800</v>
      </c>
      <c r="AU55" s="2">
        <v>0</v>
      </c>
      <c r="AV55" s="2">
        <v>1353</v>
      </c>
      <c r="AW55" s="2">
        <v>249.6</v>
      </c>
      <c r="AX55" s="2">
        <v>2554</v>
      </c>
      <c r="AY55" s="2">
        <v>277</v>
      </c>
      <c r="AZ55" s="2">
        <v>1746</v>
      </c>
      <c r="BA55" s="2">
        <v>1296</v>
      </c>
      <c r="BB55" s="2">
        <v>0</v>
      </c>
      <c r="BC55" s="2">
        <v>0</v>
      </c>
      <c r="BD55" s="2">
        <v>13383</v>
      </c>
      <c r="BE55" s="2">
        <v>0</v>
      </c>
      <c r="BF55" s="2">
        <v>0</v>
      </c>
      <c r="BG55" s="2">
        <v>0</v>
      </c>
      <c r="BH55" s="2">
        <v>0</v>
      </c>
      <c r="BI55" s="2">
        <v>0</v>
      </c>
      <c r="BK55" s="41">
        <f>SUM(B55:BJ55)</f>
        <v>41763700.6</v>
      </c>
      <c r="BL55" s="41"/>
      <c r="BM55" s="41">
        <f>C55+V55+AD55+AH55+AN55+AP55+AS55+AU55+AW55+AZ55+BB55+BD55+BE55+BG55</f>
        <v>698286.6</v>
      </c>
      <c r="BN55" s="41">
        <f>B55+D55+E55+F55+G55+H55+I55+J55+K55+L55+M55+N55+O55+P55+Q55+R55+S55+T55+U55+W55+X55+Y55+Z55+AA55+AB55+AC55+AE55+AF55+AG55+AI55+AJ55+AK55+AL55+AM55+AO55+AQ55+AT55+AV55+AX55+AY55+BA55+BC55+BH55+BI55+AR55+BF55</f>
        <v>41065414</v>
      </c>
      <c r="BO55" s="2"/>
      <c r="BP55" s="41"/>
    </row>
    <row r="56" spans="1:68" ht="12.75">
      <c r="A56" s="94" t="s">
        <v>376</v>
      </c>
      <c r="B56" s="2">
        <v>7458594</v>
      </c>
      <c r="C56" s="2">
        <v>6384452</v>
      </c>
      <c r="D56" s="2">
        <v>7232605</v>
      </c>
      <c r="E56" s="2">
        <v>2015241</v>
      </c>
      <c r="F56" s="2">
        <v>3995887</v>
      </c>
      <c r="G56" s="2">
        <f>4048996-1415540</f>
        <v>2633456</v>
      </c>
      <c r="H56" s="2">
        <v>440173</v>
      </c>
      <c r="I56" s="2">
        <v>0</v>
      </c>
      <c r="J56" s="2">
        <v>0</v>
      </c>
      <c r="K56" s="2">
        <v>44106</v>
      </c>
      <c r="L56" s="2">
        <v>358315</v>
      </c>
      <c r="M56" s="2">
        <v>2036037</v>
      </c>
      <c r="N56" s="2">
        <v>0</v>
      </c>
      <c r="O56" s="2">
        <v>47980</v>
      </c>
      <c r="P56" s="2">
        <v>3650764</v>
      </c>
      <c r="Q56" s="2">
        <v>723630</v>
      </c>
      <c r="R56" s="2">
        <v>713952</v>
      </c>
      <c r="S56" s="2">
        <v>1121565</v>
      </c>
      <c r="T56" s="2">
        <v>560543</v>
      </c>
      <c r="U56" s="2">
        <v>0</v>
      </c>
      <c r="V56" s="2">
        <v>704258</v>
      </c>
      <c r="W56" s="2">
        <v>0</v>
      </c>
      <c r="X56" s="2">
        <v>0</v>
      </c>
      <c r="Y56" s="2">
        <f>1034+283192</f>
        <v>284226</v>
      </c>
      <c r="Z56" s="2">
        <v>0</v>
      </c>
      <c r="AA56" s="2">
        <v>20803</v>
      </c>
      <c r="AB56" s="2">
        <v>0</v>
      </c>
      <c r="AC56" s="2">
        <v>0</v>
      </c>
      <c r="AD56" s="2">
        <v>0</v>
      </c>
      <c r="AE56" s="2">
        <v>199624</v>
      </c>
      <c r="AF56" s="2">
        <v>0</v>
      </c>
      <c r="AG56" s="2">
        <v>0</v>
      </c>
      <c r="AH56" s="2">
        <v>0</v>
      </c>
      <c r="AI56" s="2">
        <v>0</v>
      </c>
      <c r="AJ56" s="2">
        <v>0</v>
      </c>
      <c r="AK56" s="2">
        <v>0</v>
      </c>
      <c r="AL56" s="2">
        <v>0</v>
      </c>
      <c r="AM56" s="2">
        <v>10000</v>
      </c>
      <c r="AN56" s="2"/>
      <c r="AO56" s="2">
        <v>450</v>
      </c>
      <c r="AP56" s="2"/>
      <c r="AQ56" s="2">
        <v>11</v>
      </c>
      <c r="AR56" s="2">
        <v>390</v>
      </c>
      <c r="AS56" s="2">
        <v>0</v>
      </c>
      <c r="AT56" s="2">
        <v>0</v>
      </c>
      <c r="AU56" s="2">
        <v>0</v>
      </c>
      <c r="AV56" s="2">
        <v>0</v>
      </c>
      <c r="AW56" s="2">
        <v>0</v>
      </c>
      <c r="AX56" s="2">
        <v>0</v>
      </c>
      <c r="AY56" s="2">
        <v>0</v>
      </c>
      <c r="AZ56" s="2">
        <v>0</v>
      </c>
      <c r="BA56" s="2">
        <v>0</v>
      </c>
      <c r="BB56" s="2">
        <v>0</v>
      </c>
      <c r="BC56" s="2">
        <v>0</v>
      </c>
      <c r="BD56" s="2">
        <v>0</v>
      </c>
      <c r="BE56" s="2">
        <v>0</v>
      </c>
      <c r="BF56" s="2">
        <v>0</v>
      </c>
      <c r="BG56" s="2">
        <v>0</v>
      </c>
      <c r="BH56" s="2">
        <v>0</v>
      </c>
      <c r="BI56" s="2">
        <v>0</v>
      </c>
      <c r="BK56" s="41">
        <f>SUM(B56:BJ56)</f>
        <v>40637062</v>
      </c>
      <c r="BL56" s="41"/>
      <c r="BM56" s="41">
        <f>C56+V56+AD56+AH56+AN56+AP56+AS56+AU56+AW56+AZ56+BB56+BD56+BE56+BG56</f>
        <v>7088710</v>
      </c>
      <c r="BN56" s="41">
        <f>B56+D56+E56+F56+G56+H56+I56+J56+K56+L56+M56+N56+O56+P56+Q56+R56+S56+T56+U56+W56+X56+Y56+Z56+AA56+AB56+AC56+AE56+AF56+AG56+AI56+AJ56+AK56+AL56+AM56+AO56+AQ56+AT56+AV56+AX56+AY56+BA56+BC56+BH56+BI56+AR56+BF56</f>
        <v>33548352</v>
      </c>
      <c r="BO56" s="2"/>
      <c r="BP56" s="41"/>
    </row>
    <row r="57" spans="1:68" ht="12.75">
      <c r="A57" s="94" t="s">
        <v>377</v>
      </c>
      <c r="B57" s="2">
        <v>448418</v>
      </c>
      <c r="C57" s="2">
        <v>486</v>
      </c>
      <c r="D57" s="2">
        <v>314213</v>
      </c>
      <c r="E57" s="2">
        <v>231186</v>
      </c>
      <c r="F57" s="2">
        <v>61221</v>
      </c>
      <c r="G57" s="2">
        <f>369408+1396</f>
        <v>370804</v>
      </c>
      <c r="H57" s="2">
        <v>12986</v>
      </c>
      <c r="I57" s="2">
        <v>101</v>
      </c>
      <c r="J57" s="2">
        <v>1035378</v>
      </c>
      <c r="K57" s="2">
        <v>73534</v>
      </c>
      <c r="L57" s="2">
        <v>273759</v>
      </c>
      <c r="M57" s="2">
        <v>14212</v>
      </c>
      <c r="N57" s="2">
        <v>49689</v>
      </c>
      <c r="O57" s="2">
        <v>135513</v>
      </c>
      <c r="P57" s="2">
        <v>208368</v>
      </c>
      <c r="Q57" s="2">
        <v>94219</v>
      </c>
      <c r="R57" s="2">
        <v>184049</v>
      </c>
      <c r="S57" s="2">
        <v>111076</v>
      </c>
      <c r="T57" s="2">
        <v>180354</v>
      </c>
      <c r="U57" s="2">
        <v>0</v>
      </c>
      <c r="V57" s="2">
        <v>61</v>
      </c>
      <c r="W57" s="2">
        <v>68</v>
      </c>
      <c r="X57" s="2">
        <v>20300</v>
      </c>
      <c r="Y57" s="2">
        <v>13</v>
      </c>
      <c r="Z57" s="2">
        <v>0</v>
      </c>
      <c r="AA57" s="2">
        <v>47248</v>
      </c>
      <c r="AB57" s="2">
        <v>13375</v>
      </c>
      <c r="AC57" s="2">
        <v>0</v>
      </c>
      <c r="AD57" s="2">
        <v>35</v>
      </c>
      <c r="AE57" s="2">
        <v>103880</v>
      </c>
      <c r="AF57" s="2">
        <v>0</v>
      </c>
      <c r="AG57" s="2">
        <v>0</v>
      </c>
      <c r="AH57" s="2">
        <v>0</v>
      </c>
      <c r="AI57" s="2">
        <v>18319</v>
      </c>
      <c r="AJ57" s="2">
        <v>21</v>
      </c>
      <c r="AK57" s="2">
        <v>19</v>
      </c>
      <c r="AL57" s="2">
        <v>0</v>
      </c>
      <c r="AM57" s="2">
        <v>0</v>
      </c>
      <c r="AN57" s="2">
        <f>720+40320</f>
        <v>41040</v>
      </c>
      <c r="AO57" s="2">
        <v>14</v>
      </c>
      <c r="AP57" s="2"/>
      <c r="AQ57" s="2">
        <v>0</v>
      </c>
      <c r="AR57" s="2">
        <v>31444</v>
      </c>
      <c r="AS57" s="2">
        <v>0</v>
      </c>
      <c r="AT57" s="2">
        <v>1214</v>
      </c>
      <c r="AU57" s="2">
        <v>0</v>
      </c>
      <c r="AV57" s="2">
        <v>5000</v>
      </c>
      <c r="AW57" s="2">
        <v>0</v>
      </c>
      <c r="AX57" s="2">
        <v>7</v>
      </c>
      <c r="AY57" s="2">
        <v>6</v>
      </c>
      <c r="AZ57" s="2">
        <v>5821</v>
      </c>
      <c r="BA57" s="2">
        <v>0</v>
      </c>
      <c r="BB57" s="2">
        <v>0</v>
      </c>
      <c r="BC57" s="2">
        <v>0</v>
      </c>
      <c r="BD57" s="2">
        <v>2000</v>
      </c>
      <c r="BE57" s="2">
        <v>0</v>
      </c>
      <c r="BF57" s="2">
        <v>0</v>
      </c>
      <c r="BG57" s="2">
        <v>10000</v>
      </c>
      <c r="BH57" s="2">
        <v>0</v>
      </c>
      <c r="BI57" s="2">
        <v>0</v>
      </c>
      <c r="BK57" s="41">
        <f>SUM(B57:BJ57)</f>
        <v>4099451</v>
      </c>
      <c r="BL57" s="41"/>
      <c r="BM57" s="41">
        <f>C57+V57+AD57+AH57+AN57+AP57+AS57+AU57+AW57+AZ57+BB57+BD57+BE57+BG57</f>
        <v>59443</v>
      </c>
      <c r="BN57" s="41">
        <f>B57+D57+E57+F57+G57+H57+I57+J57+K57+L57+M57+N57+O57+P57+Q57+R57+S57+T57+U57+W57+X57+Y57+Z57+AA57+AB57+AC57+AE57+AF57+AG57+AI57+AJ57+AK57+AL57+AM57+AO57+AQ57+AT57+AV57+AX57+AY57+BA57+BC57+BH57+BI57+AR57+BF57</f>
        <v>4040008</v>
      </c>
      <c r="BO57" s="2"/>
      <c r="BP57" s="41"/>
    </row>
    <row r="58" spans="1:68" ht="12.75">
      <c r="A58" s="101" t="s">
        <v>426</v>
      </c>
      <c r="B58" s="41">
        <f>B55+B56+B57</f>
        <v>16493227</v>
      </c>
      <c r="C58" s="41">
        <f>C55+C56+C57</f>
        <v>6966323</v>
      </c>
      <c r="D58" s="41">
        <f aca="true" t="shared" si="11" ref="D58:BH58">D55+D56+D57</f>
        <v>14243270</v>
      </c>
      <c r="E58" s="41">
        <f>E55+E56+E57</f>
        <v>4451437</v>
      </c>
      <c r="F58" s="41">
        <f t="shared" si="11"/>
        <v>7531056</v>
      </c>
      <c r="G58" s="41">
        <f t="shared" si="11"/>
        <v>5344777</v>
      </c>
      <c r="H58" s="41">
        <f>H55+H56+H57</f>
        <v>1568789</v>
      </c>
      <c r="I58" s="41">
        <f t="shared" si="11"/>
        <v>155119</v>
      </c>
      <c r="J58" s="41">
        <f t="shared" si="11"/>
        <v>3766726</v>
      </c>
      <c r="K58" s="41">
        <f t="shared" si="11"/>
        <v>1997244</v>
      </c>
      <c r="L58" s="41">
        <f t="shared" si="11"/>
        <v>2833458</v>
      </c>
      <c r="M58" s="41">
        <f>M55+M56+M57</f>
        <v>3368264</v>
      </c>
      <c r="N58" s="41">
        <f t="shared" si="11"/>
        <v>206634</v>
      </c>
      <c r="O58" s="41">
        <f t="shared" si="11"/>
        <v>944129</v>
      </c>
      <c r="P58" s="41">
        <f>P55+P56+P57</f>
        <v>4800565</v>
      </c>
      <c r="Q58" s="41">
        <f t="shared" si="11"/>
        <v>840961</v>
      </c>
      <c r="R58" s="41">
        <f t="shared" si="11"/>
        <v>2189473</v>
      </c>
      <c r="S58" s="41">
        <f>S55+S56+S57</f>
        <v>1943759</v>
      </c>
      <c r="T58" s="41">
        <f t="shared" si="11"/>
        <v>2057886</v>
      </c>
      <c r="U58" s="41">
        <f>U55+U56+U57</f>
        <v>0</v>
      </c>
      <c r="V58" s="41">
        <f>V55+V56+V57</f>
        <v>758438</v>
      </c>
      <c r="W58" s="41">
        <f>W55+W56+W57</f>
        <v>175523</v>
      </c>
      <c r="X58" s="41">
        <f t="shared" si="11"/>
        <v>873277</v>
      </c>
      <c r="Y58" s="41">
        <f>Y55+Y56+Y57</f>
        <v>570874</v>
      </c>
      <c r="Z58" s="41">
        <f t="shared" si="11"/>
        <v>0</v>
      </c>
      <c r="AA58" s="41">
        <f t="shared" si="11"/>
        <v>176672</v>
      </c>
      <c r="AB58" s="41">
        <f>AB55+AB56+AB57</f>
        <v>254663</v>
      </c>
      <c r="AC58" s="41">
        <f>AC55+AC56+AC57</f>
        <v>0</v>
      </c>
      <c r="AD58" s="41">
        <f t="shared" si="11"/>
        <v>35</v>
      </c>
      <c r="AE58" s="41">
        <f>AE55+AE56+AE57</f>
        <v>482692</v>
      </c>
      <c r="AF58" s="41">
        <f t="shared" si="11"/>
        <v>210752</v>
      </c>
      <c r="AG58" s="41">
        <f t="shared" si="11"/>
        <v>659759</v>
      </c>
      <c r="AH58" s="41">
        <f t="shared" si="11"/>
        <v>0</v>
      </c>
      <c r="AI58" s="41">
        <f>AI55+AI56+AI57</f>
        <v>51838</v>
      </c>
      <c r="AJ58" s="41">
        <f t="shared" si="11"/>
        <v>115242</v>
      </c>
      <c r="AK58" s="41">
        <f t="shared" si="11"/>
        <v>19</v>
      </c>
      <c r="AL58" s="41">
        <f>AL55+AL56+AL57</f>
        <v>0</v>
      </c>
      <c r="AM58" s="41">
        <f t="shared" si="11"/>
        <v>49603</v>
      </c>
      <c r="AN58" s="41">
        <f>AN55+AN56+AN57</f>
        <v>81177</v>
      </c>
      <c r="AO58" s="41">
        <f t="shared" si="11"/>
        <v>50403</v>
      </c>
      <c r="AP58" s="41"/>
      <c r="AQ58" s="41">
        <f t="shared" si="11"/>
        <v>104194</v>
      </c>
      <c r="AR58" s="41">
        <f>AR55+AR56+AR57</f>
        <v>121982</v>
      </c>
      <c r="AS58" s="41">
        <f t="shared" si="11"/>
        <v>7267</v>
      </c>
      <c r="AT58" s="41">
        <f t="shared" si="11"/>
        <v>9014</v>
      </c>
      <c r="AU58" s="41">
        <f t="shared" si="11"/>
        <v>0</v>
      </c>
      <c r="AV58" s="41">
        <f t="shared" si="11"/>
        <v>6353</v>
      </c>
      <c r="AW58" s="41">
        <f>AW55+AW56+AW57</f>
        <v>249.6</v>
      </c>
      <c r="AX58" s="41">
        <f t="shared" si="11"/>
        <v>2561</v>
      </c>
      <c r="AY58" s="41">
        <f t="shared" si="11"/>
        <v>283</v>
      </c>
      <c r="AZ58" s="41">
        <f>AZ55+AZ56+AZ57</f>
        <v>7567</v>
      </c>
      <c r="BA58" s="41">
        <f>BA55+BA56+BA57</f>
        <v>1296</v>
      </c>
      <c r="BB58" s="41">
        <f t="shared" si="11"/>
        <v>0</v>
      </c>
      <c r="BC58" s="41">
        <f>BC55+BC56+BC57</f>
        <v>0</v>
      </c>
      <c r="BD58" s="41">
        <f>BD55+BD56+BD57</f>
        <v>15383</v>
      </c>
      <c r="BE58" s="41">
        <f>BE55+BE56+BE57</f>
        <v>0</v>
      </c>
      <c r="BF58" s="41">
        <f>BF55+BF56+BF57</f>
        <v>0</v>
      </c>
      <c r="BG58" s="41">
        <f>BG55+BG56+BG57</f>
        <v>10000</v>
      </c>
      <c r="BH58" s="41">
        <f t="shared" si="11"/>
        <v>0</v>
      </c>
      <c r="BI58" s="41">
        <f>BI55+BI56+BI57</f>
        <v>0</v>
      </c>
      <c r="BK58" s="41">
        <f>SUM(B58:BJ58)</f>
        <v>86500213.6</v>
      </c>
      <c r="BL58" s="41"/>
      <c r="BM58" s="41">
        <f>C58+V58+AD58+AH58+AN58+AP58+AS58+AU58+AW58+AZ58+BB58+BD58+BE58+BG58</f>
        <v>7846439.6</v>
      </c>
      <c r="BN58" s="41">
        <f>B58+D58+E58+F58+G58+H58+I58+J58+K58+L58+M58+N58+O58+P58+Q58+R58+S58+T58+U58+W58+X58+Y58+Z58+AA58+AB58+AC58+AE58+AF58+AG58+AI58+AJ58+AK58+AL58+AM58+AO58+AQ58+AT58+AV58+AX58+AY58+BA58+BC58+BH58+BI58+AR58+BF58</f>
        <v>78653774</v>
      </c>
      <c r="BO58" s="41"/>
      <c r="BP58" s="41"/>
    </row>
    <row r="59" spans="1:68" ht="12.75">
      <c r="A59" s="10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K59" s="41"/>
      <c r="BL59" s="41"/>
      <c r="BM59" s="41"/>
      <c r="BN59" s="41"/>
      <c r="BO59" s="41"/>
      <c r="BP59" s="41"/>
    </row>
    <row r="60" spans="1:68" ht="12.75">
      <c r="A60" s="102" t="s">
        <v>445</v>
      </c>
      <c r="B60" s="12"/>
      <c r="C60" s="12"/>
      <c r="D60" s="12"/>
      <c r="E60" s="12"/>
      <c r="F60" s="12"/>
      <c r="G60" s="12"/>
      <c r="I60" s="12"/>
      <c r="J60" s="12"/>
      <c r="K60" s="12"/>
      <c r="L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K60" s="4"/>
      <c r="BL60" s="4"/>
      <c r="BM60" s="41"/>
      <c r="BN60" s="41"/>
      <c r="BO60" s="4"/>
      <c r="BP60" s="41"/>
    </row>
    <row r="61" spans="1:68" ht="12.75">
      <c r="A61" s="102" t="s">
        <v>148</v>
      </c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K61" s="4"/>
      <c r="BL61" s="4"/>
      <c r="BM61" s="41"/>
      <c r="BN61" s="41"/>
      <c r="BO61" s="4"/>
      <c r="BP61" s="41"/>
    </row>
    <row r="62" spans="1:68" ht="12.75">
      <c r="A62" s="22" t="s">
        <v>473</v>
      </c>
      <c r="B62" s="13"/>
      <c r="C62" s="13"/>
      <c r="D62" s="13"/>
      <c r="E62" s="13"/>
      <c r="F62" s="13"/>
      <c r="G62" s="13"/>
      <c r="H62" s="12"/>
      <c r="I62" s="13"/>
      <c r="J62" s="13"/>
      <c r="K62" s="13"/>
      <c r="L62" s="13"/>
      <c r="M62" s="12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K62" s="4"/>
      <c r="BL62" s="4"/>
      <c r="BM62" s="41"/>
      <c r="BN62" s="41"/>
      <c r="BO62" s="4"/>
      <c r="BP62" s="41"/>
    </row>
    <row r="63" spans="1:105" ht="12.75">
      <c r="A63" s="22" t="s">
        <v>474</v>
      </c>
      <c r="B63" s="120">
        <f>2*('3.2 Yfirlit'!B33-'3.2 Yfirlit'!B31-'3.2 Yfirlit'!B42-('3.2 Yfirlit'!B48+'3.2 Yfirlit'!B52-'3.2 Yfirlit'!B50))</f>
        <v>22595344.466000002</v>
      </c>
      <c r="C63" s="120">
        <f>2*('3.2 Yfirlit'!C33-'3.2 Yfirlit'!C31-'3.2 Yfirlit'!C42-('3.2 Yfirlit'!C48+'3.2 Yfirlit'!C52-'3.2 Yfirlit'!C50))</f>
        <v>13652676.453999998</v>
      </c>
      <c r="D63" s="120">
        <f>2*('3.2 Yfirlit'!D33-'3.2 Yfirlit'!D31-'3.2 Yfirlit'!D42-('3.2 Yfirlit'!D48+'3.2 Yfirlit'!D52-'3.2 Yfirlit'!D50))</f>
        <v>15776660.549999999</v>
      </c>
      <c r="E63" s="120">
        <f>2*('3.2 Yfirlit'!E33-'3.2 Yfirlit'!E31-'3.2 Yfirlit'!E42-('3.2 Yfirlit'!E48+'3.2 Yfirlit'!E52-'3.2 Yfirlit'!E50))</f>
        <v>15303614.462</v>
      </c>
      <c r="F63" s="120">
        <f>2*('3.2 Yfirlit'!F33-'3.2 Yfirlit'!F31-'3.2 Yfirlit'!F42-('3.2 Yfirlit'!F48+'3.2 Yfirlit'!F52-'3.2 Yfirlit'!F50))</f>
        <v>12089410.102</v>
      </c>
      <c r="G63" s="120">
        <f>2*('3.2 Yfirlit'!G33-'3.2 Yfirlit'!G31-'3.2 Yfirlit'!G42-('3.2 Yfirlit'!G48+'3.2 Yfirlit'!G52-'3.2 Yfirlit'!G50))</f>
        <v>6795435.15</v>
      </c>
      <c r="H63" s="120">
        <f>2*('3.2 Yfirlit'!H33-'3.2 Yfirlit'!H31-'3.2 Yfirlit'!H42-('3.2 Yfirlit'!H48+'3.2 Yfirlit'!H52-'3.2 Yfirlit'!H50))</f>
        <v>4937113.822000001</v>
      </c>
      <c r="I63" s="120">
        <f>2*('3.2 Yfirlit'!I33-'3.2 Yfirlit'!I31-'3.2 Yfirlit'!I42-('3.2 Yfirlit'!I48+'3.2 Yfirlit'!I52-'3.2 Yfirlit'!I50))</f>
        <v>3966791.56</v>
      </c>
      <c r="J63" s="120">
        <f>2*('3.2 Yfirlit'!J33-'3.2 Yfirlit'!J31-'3.2 Yfirlit'!J42-('3.2 Yfirlit'!J48+'3.2 Yfirlit'!J52-'3.2 Yfirlit'!J50))</f>
        <v>4581934.897999999</v>
      </c>
      <c r="K63" s="120">
        <f>2*('3.2 Yfirlit'!K33-'3.2 Yfirlit'!K31-'3.2 Yfirlit'!K42-('3.2 Yfirlit'!K48+'3.2 Yfirlit'!K52-'3.2 Yfirlit'!K50))</f>
        <v>4778484.248</v>
      </c>
      <c r="L63" s="120">
        <f>2*('3.2 Yfirlit'!L33-'3.2 Yfirlit'!L31-'3.2 Yfirlit'!L42-('3.2 Yfirlit'!L48+'3.2 Yfirlit'!L52-'3.2 Yfirlit'!L50))</f>
        <v>3350397.486000001</v>
      </c>
      <c r="M63" s="120">
        <f>2*('3.2 Yfirlit'!M33-'3.2 Yfirlit'!M31-'3.2 Yfirlit'!M42-('3.2 Yfirlit'!M48+'3.2 Yfirlit'!M52-'3.2 Yfirlit'!M50))</f>
        <v>4092186.1020000004</v>
      </c>
      <c r="N63" s="120">
        <f>2*('3.2 Yfirlit'!N33-'3.2 Yfirlit'!N31-'3.2 Yfirlit'!N42-('3.2 Yfirlit'!N48+'3.2 Yfirlit'!N52-'3.2 Yfirlit'!N50))</f>
        <v>3163249.454</v>
      </c>
      <c r="O63" s="120">
        <f>2*('3.2 Yfirlit'!O33-'3.2 Yfirlit'!O31-'3.2 Yfirlit'!O42-('3.2 Yfirlit'!O48+'3.2 Yfirlit'!O52-'3.2 Yfirlit'!O50))</f>
        <v>4127836.608</v>
      </c>
      <c r="P63" s="120">
        <f>2*('3.2 Yfirlit'!P33-'3.2 Yfirlit'!P31-'3.2 Yfirlit'!P42-('3.2 Yfirlit'!P48+'3.2 Yfirlit'!P52-'3.2 Yfirlit'!P50))</f>
        <v>4410842.916</v>
      </c>
      <c r="Q63" s="120">
        <f>2*('3.2 Yfirlit'!Q33-'3.2 Yfirlit'!Q31-'3.2 Yfirlit'!Q42-('3.2 Yfirlit'!Q48+'3.2 Yfirlit'!Q52-'3.2 Yfirlit'!Q50))</f>
        <v>2468382.0059999996</v>
      </c>
      <c r="R63" s="120">
        <f>2*('3.2 Yfirlit'!R33-'3.2 Yfirlit'!R31-'3.2 Yfirlit'!R42-('3.2 Yfirlit'!R48+'3.2 Yfirlit'!R52-'3.2 Yfirlit'!R50))</f>
        <v>3006567.442</v>
      </c>
      <c r="S63" s="120">
        <f>2*('3.2 Yfirlit'!S33-'3.2 Yfirlit'!S31-'3.2 Yfirlit'!S42-('3.2 Yfirlit'!S48+'3.2 Yfirlit'!S52-'3.2 Yfirlit'!S50))</f>
        <v>1889209.322</v>
      </c>
      <c r="T63" s="120">
        <f>2*('3.2 Yfirlit'!T33-'3.2 Yfirlit'!T31-'3.2 Yfirlit'!T42-('3.2 Yfirlit'!T48+'3.2 Yfirlit'!T52-'3.2 Yfirlit'!T50))</f>
        <v>2493108.2399999998</v>
      </c>
      <c r="U63" s="120">
        <f>2*('3.2 Yfirlit'!U33-'3.2 Yfirlit'!U31-'3.2 Yfirlit'!U42-('3.2 Yfirlit'!U48+'3.2 Yfirlit'!U52-'3.2 Yfirlit'!U50))</f>
        <v>1440308.874</v>
      </c>
      <c r="V63" s="120">
        <f>2*('3.2 Yfirlit'!V33-'3.2 Yfirlit'!V31-'3.2 Yfirlit'!V42-('3.2 Yfirlit'!V48+'3.2 Yfirlit'!V52-'3.2 Yfirlit'!V50))</f>
        <v>1546564.93</v>
      </c>
      <c r="W63" s="120">
        <f>2*('3.2 Yfirlit'!W33-'3.2 Yfirlit'!W31-'3.2 Yfirlit'!W42-('3.2 Yfirlit'!W48+'3.2 Yfirlit'!W52-'3.2 Yfirlit'!W50))</f>
        <v>1477515.2959999999</v>
      </c>
      <c r="X63" s="120">
        <f>2*('3.2 Yfirlit'!X33-'3.2 Yfirlit'!X31-'3.2 Yfirlit'!X42-('3.2 Yfirlit'!X48+'3.2 Yfirlit'!X52-'3.2 Yfirlit'!X50))</f>
        <v>2109537.704</v>
      </c>
      <c r="Y63" s="120">
        <f>2*('3.2 Yfirlit'!Y33-'3.2 Yfirlit'!Y31-'3.2 Yfirlit'!Y42-('3.2 Yfirlit'!Y48+'3.2 Yfirlit'!Y52-'3.2 Yfirlit'!Y50))</f>
        <v>1193670</v>
      </c>
      <c r="Z63" s="120">
        <f>2*('3.2 Yfirlit'!Z33-'3.2 Yfirlit'!Z31-'3.2 Yfirlit'!Z42-('3.2 Yfirlit'!Z48+'3.2 Yfirlit'!Z52-'3.2 Yfirlit'!Z50))</f>
        <v>1287583.086</v>
      </c>
      <c r="AA63" s="120">
        <f>2*('3.2 Yfirlit'!AA33-'3.2 Yfirlit'!AA31-'3.2 Yfirlit'!AA42-('3.2 Yfirlit'!AA48+'3.2 Yfirlit'!AA52-'3.2 Yfirlit'!AA50))</f>
        <v>1651623.0060000003</v>
      </c>
      <c r="AB63" s="120">
        <f>2*('3.2 Yfirlit'!AB33-'3.2 Yfirlit'!AB31-'3.2 Yfirlit'!AB42-('3.2 Yfirlit'!AB48+'3.2 Yfirlit'!AB52-'3.2 Yfirlit'!AB50))</f>
        <v>839567.906</v>
      </c>
      <c r="AC63" s="120">
        <f>2*('3.2 Yfirlit'!AC33-'3.2 Yfirlit'!AC31-'3.2 Yfirlit'!AC42-('3.2 Yfirlit'!AC48+'3.2 Yfirlit'!AC52-'3.2 Yfirlit'!AC50))</f>
        <v>679059.624</v>
      </c>
      <c r="AD63" s="120">
        <f>2*('3.2 Yfirlit'!AD33-'3.2 Yfirlit'!AD31-'3.2 Yfirlit'!AD42-('3.2 Yfirlit'!AD48+'3.2 Yfirlit'!AD52-'3.2 Yfirlit'!AD50))</f>
        <v>526051.164</v>
      </c>
      <c r="AE63" s="120">
        <f>2*('3.2 Yfirlit'!AE33-'3.2 Yfirlit'!AE31-'3.2 Yfirlit'!AE42-('3.2 Yfirlit'!AE48+'3.2 Yfirlit'!AE52-'3.2 Yfirlit'!AE50))</f>
        <v>1266748.6680000003</v>
      </c>
      <c r="AF63" s="120">
        <f>2*('3.2 Yfirlit'!AF33-'3.2 Yfirlit'!AF31-'3.2 Yfirlit'!AF42-('3.2 Yfirlit'!AF48+'3.2 Yfirlit'!AF52-'3.2 Yfirlit'!AF50))</f>
        <v>701881.124</v>
      </c>
      <c r="AG63" s="120">
        <f>2*('3.2 Yfirlit'!AG33-'3.2 Yfirlit'!AG31-'3.2 Yfirlit'!AG42-('3.2 Yfirlit'!AG48+'3.2 Yfirlit'!AG52-'3.2 Yfirlit'!AG50))</f>
        <v>1010467.984</v>
      </c>
      <c r="AH63" s="120">
        <f>2*('3.2 Yfirlit'!AH33-'3.2 Yfirlit'!AH31-'3.2 Yfirlit'!AH42-('3.2 Yfirlit'!AH48+'3.2 Yfirlit'!AH52-'3.2 Yfirlit'!AH50))</f>
        <v>548372.264</v>
      </c>
      <c r="AI63" s="120">
        <f>2*('3.2 Yfirlit'!AI33-'3.2 Yfirlit'!AI31-'3.2 Yfirlit'!AI42-('3.2 Yfirlit'!AI48+'3.2 Yfirlit'!AI52-'3.2 Yfirlit'!AI50))</f>
        <v>494754.22599999997</v>
      </c>
      <c r="AJ63" s="120">
        <f>2*('3.2 Yfirlit'!AJ33-'3.2 Yfirlit'!AJ31-'3.2 Yfirlit'!AJ42-('3.2 Yfirlit'!AJ48+'3.2 Yfirlit'!AJ52-'3.2 Yfirlit'!AJ50))</f>
        <v>538359.326</v>
      </c>
      <c r="AK63" s="120">
        <f>2*('3.2 Yfirlit'!AK33-'3.2 Yfirlit'!AK31-'3.2 Yfirlit'!AK42-('3.2 Yfirlit'!AK48+'3.2 Yfirlit'!AK52-'3.2 Yfirlit'!AK50))</f>
        <v>321520.74</v>
      </c>
      <c r="AL63" s="120">
        <f>2*('3.2 Yfirlit'!AL33-'3.2 Yfirlit'!AL31-'3.2 Yfirlit'!AL42-('3.2 Yfirlit'!AL48+'3.2 Yfirlit'!AL52-'3.2 Yfirlit'!AL50))</f>
        <v>327534.05000000005</v>
      </c>
      <c r="AM63" s="120">
        <f>2*('3.2 Yfirlit'!AM33-'3.2 Yfirlit'!AM31-'3.2 Yfirlit'!AM42-('3.2 Yfirlit'!AM48+'3.2 Yfirlit'!AM52-'3.2 Yfirlit'!AM50))</f>
        <v>376168.37</v>
      </c>
      <c r="AN63" s="120">
        <f>2*('3.2 Yfirlit'!AN33-'3.2 Yfirlit'!AN31-'3.2 Yfirlit'!AN42-('3.2 Yfirlit'!AN48+'3.2 Yfirlit'!AN52-'3.2 Yfirlit'!AN50))</f>
        <v>307686.61</v>
      </c>
      <c r="AO63" s="120">
        <f>2*('3.2 Yfirlit'!AO33-'3.2 Yfirlit'!AO31-'3.2 Yfirlit'!AO42-('3.2 Yfirlit'!AO48+'3.2 Yfirlit'!AO52-'3.2 Yfirlit'!AO50))</f>
        <v>303280.41400000005</v>
      </c>
      <c r="AP63" s="120">
        <f>2*('3.2 Yfirlit'!AP33-'3.2 Yfirlit'!AP31-'3.2 Yfirlit'!AP42-('3.2 Yfirlit'!AP48+'3.2 Yfirlit'!AP52-'3.2 Yfirlit'!AP50))</f>
        <v>281066.754</v>
      </c>
      <c r="AQ63" s="120">
        <f>2*('3.2 Yfirlit'!AQ33-'3.2 Yfirlit'!AQ31-'3.2 Yfirlit'!AQ42-('3.2 Yfirlit'!AQ48+'3.2 Yfirlit'!AQ52-'3.2 Yfirlit'!AQ50))</f>
        <v>325193.13000000006</v>
      </c>
      <c r="AR63" s="120">
        <f>2*('3.2 Yfirlit'!AR33-'3.2 Yfirlit'!AR31-'3.2 Yfirlit'!AR42-('3.2 Yfirlit'!AR48+'3.2 Yfirlit'!AR52-'3.2 Yfirlit'!AR50))</f>
        <v>367654.018</v>
      </c>
      <c r="AS63" s="120">
        <f>2*('3.2 Yfirlit'!AS33-'3.2 Yfirlit'!AS31-'3.2 Yfirlit'!AS42-('3.2 Yfirlit'!AS48+'3.2 Yfirlit'!AS52-'3.2 Yfirlit'!AS50))</f>
        <v>266420.60000000003</v>
      </c>
      <c r="AT63" s="120">
        <f>2*('3.2 Yfirlit'!AT33-'3.2 Yfirlit'!AT31-'3.2 Yfirlit'!AT42-('3.2 Yfirlit'!AT48+'3.2 Yfirlit'!AT52-'3.2 Yfirlit'!AT50))</f>
        <v>188639.208</v>
      </c>
      <c r="AU63" s="120">
        <f>2*('3.2 Yfirlit'!AU33-'3.2 Yfirlit'!AU31-'3.2 Yfirlit'!AU42-('3.2 Yfirlit'!AU48+'3.2 Yfirlit'!AU52-'3.2 Yfirlit'!AU50))</f>
        <v>137733.19</v>
      </c>
      <c r="AV63" s="120">
        <f>2*('3.2 Yfirlit'!AV33-'3.2 Yfirlit'!AV31-'3.2 Yfirlit'!AV42-('3.2 Yfirlit'!AV48+'3.2 Yfirlit'!AV52-'3.2 Yfirlit'!AV50))</f>
        <v>168746.9</v>
      </c>
      <c r="AW63" s="120">
        <f>2*('3.2 Yfirlit'!AW33-'3.2 Yfirlit'!AW31-'3.2 Yfirlit'!AW42-('3.2 Yfirlit'!AW48+'3.2 Yfirlit'!AW52-'3.2 Yfirlit'!AW50))</f>
        <v>40752.796</v>
      </c>
      <c r="AX63" s="120">
        <f>2*('3.2 Yfirlit'!AX33-'3.2 Yfirlit'!AX31-'3.2 Yfirlit'!AX42-('3.2 Yfirlit'!AX48+'3.2 Yfirlit'!AX52-'3.2 Yfirlit'!AX50))</f>
        <v>133043.33599999998</v>
      </c>
      <c r="AY63" s="120">
        <f>2*('3.2 Yfirlit'!AY33-'3.2 Yfirlit'!AY31-'3.2 Yfirlit'!AY42-('3.2 Yfirlit'!AY48+'3.2 Yfirlit'!AY52-'3.2 Yfirlit'!AY50))</f>
        <v>103436.312</v>
      </c>
      <c r="AZ63" s="120">
        <f>2*('3.2 Yfirlit'!AZ33-'3.2 Yfirlit'!AZ31-'3.2 Yfirlit'!AZ42-('3.2 Yfirlit'!AZ48+'3.2 Yfirlit'!AZ52-'3.2 Yfirlit'!AZ50))</f>
        <v>91147.466</v>
      </c>
      <c r="BA63" s="120">
        <f>2*('3.2 Yfirlit'!BA33-'3.2 Yfirlit'!BA31-'3.2 Yfirlit'!BA42-('3.2 Yfirlit'!BA48+'3.2 Yfirlit'!BA52-'3.2 Yfirlit'!BA50))</f>
        <v>94636.028</v>
      </c>
      <c r="BB63" s="120">
        <f>2*('3.2 Yfirlit'!BB33-'3.2 Yfirlit'!BB31-'3.2 Yfirlit'!BB42-('3.2 Yfirlit'!BB48+'3.2 Yfirlit'!BB52-'3.2 Yfirlit'!BB50))</f>
        <v>52907.085999999996</v>
      </c>
      <c r="BC63" s="120">
        <f>2*('3.2 Yfirlit'!BC33-'3.2 Yfirlit'!BC31-'3.2 Yfirlit'!BC42-('3.2 Yfirlit'!BC48+'3.2 Yfirlit'!BC52-'3.2 Yfirlit'!BC50))</f>
        <v>37138.462</v>
      </c>
      <c r="BD63" s="120">
        <f>2*('3.2 Yfirlit'!BD33-'3.2 Yfirlit'!BD31-'3.2 Yfirlit'!BD42-('3.2 Yfirlit'!BD48+'3.2 Yfirlit'!BD52-'3.2 Yfirlit'!BD50))</f>
        <v>28760.878000000004</v>
      </c>
      <c r="BE63" s="120">
        <f>2*('3.2 Yfirlit'!BE33-'3.2 Yfirlit'!BE31-'3.2 Yfirlit'!BE42-('3.2 Yfirlit'!BE48+'3.2 Yfirlit'!BE52-'3.2 Yfirlit'!BE50))</f>
        <v>22501.334</v>
      </c>
      <c r="BF63" s="120">
        <f>2*('3.2 Yfirlit'!BF33-'3.2 Yfirlit'!BF31-'3.2 Yfirlit'!BF42-('3.2 Yfirlit'!BF48+'3.2 Yfirlit'!BF52-'3.2 Yfirlit'!BF50))</f>
        <v>22031.854000000003</v>
      </c>
      <c r="BG63" s="120">
        <f>2*('3.2 Yfirlit'!BG33-'3.2 Yfirlit'!BG31-'3.2 Yfirlit'!BG42-('3.2 Yfirlit'!BG48+'3.2 Yfirlit'!BG52-'3.2 Yfirlit'!BG50))</f>
        <v>14682.4</v>
      </c>
      <c r="BH63" s="120">
        <f>2*('3.2 Yfirlit'!BH33-'3.2 Yfirlit'!BH31-'3.2 Yfirlit'!BH42-('3.2 Yfirlit'!BH48+'3.2 Yfirlit'!BH52-'3.2 Yfirlit'!BH50))</f>
        <v>7911.59</v>
      </c>
      <c r="BI63" s="120">
        <f>2*('3.2 Yfirlit'!BI33-'3.2 Yfirlit'!BI31-'3.2 Yfirlit'!BI42-('3.2 Yfirlit'!BI48+'3.2 Yfirlit'!BI52-'3.2 Yfirlit'!BI50))</f>
        <v>1459.1280000000002</v>
      </c>
      <c r="BK63" s="120">
        <f>SUM(B63:BI63)</f>
        <v>154813363.12400007</v>
      </c>
      <c r="BL63" s="120"/>
      <c r="BM63" s="41">
        <f>C63+V63+AD63+AH63+AN63+AP63+AS63+AU63+AW63+AZ63+BB63+BD63+BE63+BG63</f>
        <v>17517323.925999995</v>
      </c>
      <c r="BN63" s="41">
        <f>B63+D63+E63+F63+G63+H63+I63+J63+K63+L63+M63+N63+O63+P63+Q63+R63+S63+T63+U63+W63+X63+Y63+Z63+AA63+AB63+AC63+AE63+AF63+AG63+AI63+AJ63+AK63+AL63+AM63+AO63+AQ63+AT63+AV63+AX63+AY63+BA63+BC63+BH63+BI63+AR63+BF63</f>
        <v>137296039.198</v>
      </c>
      <c r="BO63" s="120"/>
      <c r="BP63" s="4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  <c r="CJ63" s="121"/>
      <c r="CK63" s="121"/>
      <c r="CL63" s="121"/>
      <c r="CM63" s="121"/>
      <c r="CN63" s="121"/>
      <c r="CO63" s="121"/>
      <c r="CP63" s="121"/>
      <c r="CQ63" s="121"/>
      <c r="CR63" s="121"/>
      <c r="CS63" s="121"/>
      <c r="CT63" s="121"/>
      <c r="CU63" s="121"/>
      <c r="CV63" s="121"/>
      <c r="CW63" s="121"/>
      <c r="CX63" s="121"/>
      <c r="CY63" s="121"/>
      <c r="CZ63" s="121"/>
      <c r="DA63" s="121"/>
    </row>
    <row r="64" spans="1:105" ht="12.75">
      <c r="A64" s="83"/>
      <c r="B64" s="122"/>
      <c r="C64" s="122"/>
      <c r="D64" s="122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122"/>
      <c r="T64" s="122"/>
      <c r="U64" s="121"/>
      <c r="V64" s="122"/>
      <c r="W64" s="122"/>
      <c r="X64" s="122"/>
      <c r="Y64" s="122"/>
      <c r="Z64" s="121"/>
      <c r="AA64" s="122"/>
      <c r="AB64" s="122"/>
      <c r="AC64" s="122"/>
      <c r="AD64" s="122"/>
      <c r="AE64" s="122"/>
      <c r="AF64" s="122"/>
      <c r="AG64" s="122"/>
      <c r="AH64" s="122"/>
      <c r="AI64" s="122"/>
      <c r="AJ64" s="122"/>
      <c r="AK64" s="122"/>
      <c r="AL64" s="122"/>
      <c r="AM64" s="122"/>
      <c r="AN64" s="122"/>
      <c r="AO64" s="122"/>
      <c r="AP64" s="122"/>
      <c r="AQ64" s="122"/>
      <c r="AR64" s="122"/>
      <c r="AS64" s="122"/>
      <c r="AT64" s="122"/>
      <c r="AU64" s="122"/>
      <c r="AV64" s="122"/>
      <c r="AW64" s="121"/>
      <c r="AX64" s="122"/>
      <c r="AY64" s="122"/>
      <c r="AZ64" s="122"/>
      <c r="BA64" s="122"/>
      <c r="BB64" s="122"/>
      <c r="BC64" s="122"/>
      <c r="BD64" s="122"/>
      <c r="BE64" s="122"/>
      <c r="BF64" s="122"/>
      <c r="BG64" s="122"/>
      <c r="BH64" s="122"/>
      <c r="BI64" s="122"/>
      <c r="BK64" s="120"/>
      <c r="BL64" s="123"/>
      <c r="BM64" s="41"/>
      <c r="BN64" s="41"/>
      <c r="BO64" s="123"/>
      <c r="BP64" s="4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  <c r="CJ64" s="121"/>
      <c r="CK64" s="121"/>
      <c r="CL64" s="121"/>
      <c r="CM64" s="121"/>
      <c r="CN64" s="121"/>
      <c r="CO64" s="121"/>
      <c r="CP64" s="121"/>
      <c r="CQ64" s="121"/>
      <c r="CR64" s="121"/>
      <c r="CS64" s="121"/>
      <c r="CT64" s="121"/>
      <c r="CU64" s="121"/>
      <c r="CV64" s="121"/>
      <c r="CW64" s="121"/>
      <c r="CX64" s="121"/>
      <c r="CY64" s="121"/>
      <c r="CZ64" s="121"/>
      <c r="DA64" s="121"/>
    </row>
    <row r="65" spans="1:105" ht="12.75">
      <c r="A65" s="22" t="s">
        <v>172</v>
      </c>
      <c r="B65" s="124"/>
      <c r="C65" s="124"/>
      <c r="D65" s="124"/>
      <c r="E65" s="124"/>
      <c r="F65" s="124"/>
      <c r="G65" s="124"/>
      <c r="H65" s="124"/>
      <c r="I65" s="124"/>
      <c r="J65" s="124"/>
      <c r="K65" s="124"/>
      <c r="L65" s="124"/>
      <c r="M65" s="124"/>
      <c r="N65" s="124"/>
      <c r="O65" s="124"/>
      <c r="P65" s="124"/>
      <c r="Q65" s="124"/>
      <c r="R65" s="124"/>
      <c r="S65" s="124"/>
      <c r="T65" s="124"/>
      <c r="U65" s="121"/>
      <c r="V65" s="124"/>
      <c r="W65" s="124"/>
      <c r="X65" s="124"/>
      <c r="Y65" s="124"/>
      <c r="Z65" s="121"/>
      <c r="AA65" s="124"/>
      <c r="AB65" s="124"/>
      <c r="AC65" s="124"/>
      <c r="AD65" s="124"/>
      <c r="AE65" s="124"/>
      <c r="AF65" s="124"/>
      <c r="AG65" s="124"/>
      <c r="AH65" s="124"/>
      <c r="AI65" s="124"/>
      <c r="AJ65" s="124"/>
      <c r="AK65" s="124"/>
      <c r="AL65" s="124"/>
      <c r="AM65" s="124"/>
      <c r="AN65" s="124"/>
      <c r="AO65" s="124"/>
      <c r="AP65" s="124"/>
      <c r="AQ65" s="124"/>
      <c r="AR65" s="124"/>
      <c r="AS65" s="124"/>
      <c r="AT65" s="124"/>
      <c r="AU65" s="124"/>
      <c r="AV65" s="124"/>
      <c r="AW65" s="121"/>
      <c r="AX65" s="124"/>
      <c r="AY65" s="124"/>
      <c r="AZ65" s="124"/>
      <c r="BA65" s="124"/>
      <c r="BB65" s="124"/>
      <c r="BC65" s="124"/>
      <c r="BD65" s="124"/>
      <c r="BE65" s="124"/>
      <c r="BF65" s="124"/>
      <c r="BG65" s="124"/>
      <c r="BH65" s="124"/>
      <c r="BI65" s="124"/>
      <c r="BK65" s="120"/>
      <c r="BL65" s="123"/>
      <c r="BM65" s="41"/>
      <c r="BN65" s="41"/>
      <c r="BO65" s="123"/>
      <c r="BP65" s="4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  <c r="CJ65" s="121"/>
      <c r="CK65" s="121"/>
      <c r="CL65" s="121"/>
      <c r="CM65" s="121"/>
      <c r="CN65" s="121"/>
      <c r="CO65" s="121"/>
      <c r="CP65" s="121"/>
      <c r="CQ65" s="121"/>
      <c r="CR65" s="121"/>
      <c r="CS65" s="121"/>
      <c r="CT65" s="121"/>
      <c r="CU65" s="121"/>
      <c r="CV65" s="121"/>
      <c r="CW65" s="121"/>
      <c r="CX65" s="121"/>
      <c r="CY65" s="121"/>
      <c r="CZ65" s="121"/>
      <c r="DA65" s="121"/>
    </row>
    <row r="66" spans="1:105" ht="12.75">
      <c r="A66" s="22" t="s">
        <v>173</v>
      </c>
      <c r="B66" s="120">
        <f>'3.2 Yfirlit'!B65+'3.2 Yfirlit'!B68-('3.2 Yfirlit'!B33-'3.2 Yfirlit'!B31-'3.2 Yfirlit'!B42-('3.2 Yfirlit'!B48+'3.2 Yfirlit'!B52-'3.2 Yfirlit'!B50))</f>
        <v>125166191.72600003</v>
      </c>
      <c r="C66" s="120">
        <f>'3.2 Yfirlit'!C65+'3.2 Yfirlit'!C68-('3.2 Yfirlit'!C33-'3.2 Yfirlit'!C31-'3.2 Yfirlit'!C42-('3.2 Yfirlit'!C48+'3.2 Yfirlit'!C52-'3.2 Yfirlit'!C50))</f>
        <v>94119920.34</v>
      </c>
      <c r="D66" s="120">
        <f>'3.2 Yfirlit'!D65+'3.2 Yfirlit'!D68-('3.2 Yfirlit'!D33-'3.2 Yfirlit'!D31-'3.2 Yfirlit'!D42-('3.2 Yfirlit'!D48+'3.2 Yfirlit'!D52-'3.2 Yfirlit'!D50))</f>
        <v>74579448.183</v>
      </c>
      <c r="E66" s="120">
        <f>'3.2 Yfirlit'!E65+'3.2 Yfirlit'!E68-('3.2 Yfirlit'!E33-'3.2 Yfirlit'!E31-'3.2 Yfirlit'!E42-('3.2 Yfirlit'!E48+'3.2 Yfirlit'!E52-'3.2 Yfirlit'!E50))</f>
        <v>62723976.466</v>
      </c>
      <c r="F66" s="120">
        <f>'3.2 Yfirlit'!F65+'3.2 Yfirlit'!F68-('3.2 Yfirlit'!F33-'3.2 Yfirlit'!F31-'3.2 Yfirlit'!F42-('3.2 Yfirlit'!F48+'3.2 Yfirlit'!F52-'3.2 Yfirlit'!F50))</f>
        <v>64912650.657000005</v>
      </c>
      <c r="G66" s="120">
        <f>'3.2 Yfirlit'!G65+'3.2 Yfirlit'!G68-('3.2 Yfirlit'!G33-'3.2 Yfirlit'!G31-'3.2 Yfirlit'!G42-('3.2 Yfirlit'!G48+'3.2 Yfirlit'!G52-'3.2 Yfirlit'!G50))</f>
        <v>30131656.923000004</v>
      </c>
      <c r="H66" s="120">
        <f>'3.2 Yfirlit'!H65+'3.2 Yfirlit'!H68-('3.2 Yfirlit'!H33-'3.2 Yfirlit'!H31-'3.2 Yfirlit'!H42-('3.2 Yfirlit'!H48+'3.2 Yfirlit'!H52-'3.2 Yfirlit'!H50))</f>
        <v>29897658.860000007</v>
      </c>
      <c r="I66" s="120">
        <f>'3.2 Yfirlit'!I65+'3.2 Yfirlit'!I68-('3.2 Yfirlit'!I33-'3.2 Yfirlit'!I31-'3.2 Yfirlit'!I42-('3.2 Yfirlit'!I48+'3.2 Yfirlit'!I52-'3.2 Yfirlit'!I50))</f>
        <v>29411887.718</v>
      </c>
      <c r="J66" s="120">
        <f>'3.2 Yfirlit'!J65+'3.2 Yfirlit'!J68-('3.2 Yfirlit'!J33-'3.2 Yfirlit'!J31-'3.2 Yfirlit'!J42-('3.2 Yfirlit'!J48+'3.2 Yfirlit'!J52-'3.2 Yfirlit'!J50))</f>
        <v>24333638.302</v>
      </c>
      <c r="K66" s="120">
        <f>'3.2 Yfirlit'!K65+'3.2 Yfirlit'!K68-('3.2 Yfirlit'!K33-'3.2 Yfirlit'!K31-'3.2 Yfirlit'!K42-('3.2 Yfirlit'!K48+'3.2 Yfirlit'!K52-'3.2 Yfirlit'!K50))</f>
        <v>23483081.367</v>
      </c>
      <c r="L66" s="120">
        <f>'3.2 Yfirlit'!L65+'3.2 Yfirlit'!L68-('3.2 Yfirlit'!L33-'3.2 Yfirlit'!L31-'3.2 Yfirlit'!L42-('3.2 Yfirlit'!L48+'3.2 Yfirlit'!L52-'3.2 Yfirlit'!L50))</f>
        <v>23121582.403</v>
      </c>
      <c r="M66" s="120">
        <f>'3.2 Yfirlit'!M65+'3.2 Yfirlit'!M68-('3.2 Yfirlit'!M33-'3.2 Yfirlit'!M31-'3.2 Yfirlit'!M42-('3.2 Yfirlit'!M48+'3.2 Yfirlit'!M52-'3.2 Yfirlit'!M50))</f>
        <v>19903416.328</v>
      </c>
      <c r="N66" s="120">
        <f>'3.2 Yfirlit'!N65+'3.2 Yfirlit'!N68-('3.2 Yfirlit'!N33-'3.2 Yfirlit'!N31-'3.2 Yfirlit'!N42-('3.2 Yfirlit'!N48+'3.2 Yfirlit'!N52-'3.2 Yfirlit'!N50))</f>
        <v>19699183.186000004</v>
      </c>
      <c r="O66" s="120">
        <f>'3.2 Yfirlit'!O65+'3.2 Yfirlit'!O68-('3.2 Yfirlit'!O33-'3.2 Yfirlit'!O31-'3.2 Yfirlit'!O42-('3.2 Yfirlit'!O48+'3.2 Yfirlit'!O52-'3.2 Yfirlit'!O50))</f>
        <v>18220758.767999995</v>
      </c>
      <c r="P66" s="120">
        <f>'3.2 Yfirlit'!P65+'3.2 Yfirlit'!P68-('3.2 Yfirlit'!P33-'3.2 Yfirlit'!P31-'3.2 Yfirlit'!P42-('3.2 Yfirlit'!P48+'3.2 Yfirlit'!P52-'3.2 Yfirlit'!P50))</f>
        <v>15553560.009</v>
      </c>
      <c r="Q66" s="120">
        <f>'3.2 Yfirlit'!Q65+'3.2 Yfirlit'!Q68-('3.2 Yfirlit'!Q33-'3.2 Yfirlit'!Q31-'3.2 Yfirlit'!Q42-('3.2 Yfirlit'!Q48+'3.2 Yfirlit'!Q52-'3.2 Yfirlit'!Q50))</f>
        <v>16672948.198</v>
      </c>
      <c r="R66" s="120">
        <f>'3.2 Yfirlit'!R65+'3.2 Yfirlit'!R68-('3.2 Yfirlit'!R33-'3.2 Yfirlit'!R31-'3.2 Yfirlit'!R42-('3.2 Yfirlit'!R48+'3.2 Yfirlit'!R52-'3.2 Yfirlit'!R50))</f>
        <v>15701226.818</v>
      </c>
      <c r="S66" s="120">
        <f>'3.2 Yfirlit'!S65+'3.2 Yfirlit'!S68-('3.2 Yfirlit'!S33-'3.2 Yfirlit'!S31-'3.2 Yfirlit'!S42-('3.2 Yfirlit'!S48+'3.2 Yfirlit'!S52-'3.2 Yfirlit'!S50))</f>
        <v>11957195.012</v>
      </c>
      <c r="T66" s="120">
        <f>'3.2 Yfirlit'!T65+'3.2 Yfirlit'!T68-('3.2 Yfirlit'!T33-'3.2 Yfirlit'!T31-'3.2 Yfirlit'!T42-('3.2 Yfirlit'!T48+'3.2 Yfirlit'!T52-'3.2 Yfirlit'!T50))</f>
        <v>11136083.633</v>
      </c>
      <c r="U66" s="120">
        <f>'3.2 Yfirlit'!U65+'3.2 Yfirlit'!U68-('3.2 Yfirlit'!U33-'3.2 Yfirlit'!U31-'3.2 Yfirlit'!U42-('3.2 Yfirlit'!U48+'3.2 Yfirlit'!U52-'3.2 Yfirlit'!U50))</f>
        <v>10302698.606</v>
      </c>
      <c r="V66" s="120">
        <f>'3.2 Yfirlit'!V65+'3.2 Yfirlit'!V68-('3.2 Yfirlit'!V33-'3.2 Yfirlit'!V31-'3.2 Yfirlit'!V42-('3.2 Yfirlit'!V48+'3.2 Yfirlit'!V52-'3.2 Yfirlit'!V50))</f>
        <v>10179216.703</v>
      </c>
      <c r="W66" s="120">
        <f>'3.2 Yfirlit'!W65+'3.2 Yfirlit'!W68-('3.2 Yfirlit'!W33-'3.2 Yfirlit'!W31-'3.2 Yfirlit'!W42-('3.2 Yfirlit'!W48+'3.2 Yfirlit'!W52-'3.2 Yfirlit'!W50))</f>
        <v>10704833.505</v>
      </c>
      <c r="X66" s="120">
        <f>'3.2 Yfirlit'!X65+'3.2 Yfirlit'!X68-('3.2 Yfirlit'!X33-'3.2 Yfirlit'!X31-'3.2 Yfirlit'!X42-('3.2 Yfirlit'!X48+'3.2 Yfirlit'!X52-'3.2 Yfirlit'!X50))</f>
        <v>10303439.22</v>
      </c>
      <c r="Y66" s="120">
        <f>2554401+'3.2 Yfirlit'!Y68-('3.2 Yfirlit'!Y33-'3.2 Yfirlit'!Y31-'3.2 Yfirlit'!Y42-('3.2 Yfirlit'!Y48+'3.2 Yfirlit'!Y52-'3.2 Yfirlit'!Y50))</f>
        <v>7397923</v>
      </c>
      <c r="Z66" s="120">
        <f>'3.2 Yfirlit'!Z65+'3.2 Yfirlit'!Z68-('3.2 Yfirlit'!Z33-'3.2 Yfirlit'!Z31-'3.2 Yfirlit'!Z42-('3.2 Yfirlit'!Z48+'3.2 Yfirlit'!Z52-'3.2 Yfirlit'!Z50))</f>
        <v>8536546.538999999</v>
      </c>
      <c r="AA66" s="120">
        <f>'3.2 Yfirlit'!AA65+'3.2 Yfirlit'!AA68-('3.2 Yfirlit'!AA33-'3.2 Yfirlit'!AA31-'3.2 Yfirlit'!AA42-('3.2 Yfirlit'!AA48+'3.2 Yfirlit'!AA52-'3.2 Yfirlit'!AA50))</f>
        <v>8031559.236</v>
      </c>
      <c r="AB66" s="120">
        <f>'3.2 Yfirlit'!AB65+'3.2 Yfirlit'!AB68-('3.2 Yfirlit'!AB33-'3.2 Yfirlit'!AB31-'3.2 Yfirlit'!AB42-('3.2 Yfirlit'!AB48+'3.2 Yfirlit'!AB52-'3.2 Yfirlit'!AB50))</f>
        <v>5216909.74</v>
      </c>
      <c r="AC66" s="120">
        <f>'3.2 Yfirlit'!AC65+'3.2 Yfirlit'!AC68-('3.2 Yfirlit'!AC33-'3.2 Yfirlit'!AC31-'3.2 Yfirlit'!AC42-('3.2 Yfirlit'!AC48+'3.2 Yfirlit'!AC52-'3.2 Yfirlit'!AC50))</f>
        <v>5316571.681000001</v>
      </c>
      <c r="AD66" s="120">
        <f>'3.2 Yfirlit'!AD65+'3.2 Yfirlit'!AD68-('3.2 Yfirlit'!AD33-'3.2 Yfirlit'!AD31-'3.2 Yfirlit'!AD42-('3.2 Yfirlit'!AD48+'3.2 Yfirlit'!AD52-'3.2 Yfirlit'!AD50))</f>
        <v>5429858.756</v>
      </c>
      <c r="AE66" s="120">
        <f>'3.2 Yfirlit'!AE65+'3.2 Yfirlit'!AE68-('3.2 Yfirlit'!AE33-'3.2 Yfirlit'!AE31-'3.2 Yfirlit'!AE42-('3.2 Yfirlit'!AE48+'3.2 Yfirlit'!AE52-'3.2 Yfirlit'!AE50))</f>
        <v>4399673.953000001</v>
      </c>
      <c r="AF66" s="120">
        <f>'3.2 Yfirlit'!AF65+'3.2 Yfirlit'!AF68-('3.2 Yfirlit'!AF33-'3.2 Yfirlit'!AF31-'3.2 Yfirlit'!AF42-('3.2 Yfirlit'!AF48+'3.2 Yfirlit'!AF52-'3.2 Yfirlit'!AF50))</f>
        <v>4994080.663</v>
      </c>
      <c r="AG66" s="120">
        <f>'3.2 Yfirlit'!AG65+'3.2 Yfirlit'!AG68-('3.2 Yfirlit'!AG33-'3.2 Yfirlit'!AG31-'3.2 Yfirlit'!AG42-('3.2 Yfirlit'!AG48+'3.2 Yfirlit'!AG52-'3.2 Yfirlit'!AG50))</f>
        <v>4558682.316000001</v>
      </c>
      <c r="AH66" s="120">
        <f>'3.2 Yfirlit'!AH65+'3.2 Yfirlit'!AH68-('3.2 Yfirlit'!AH33-'3.2 Yfirlit'!AH31-'3.2 Yfirlit'!AH42-('3.2 Yfirlit'!AH48+'3.2 Yfirlit'!AH52-'3.2 Yfirlit'!AH50))</f>
        <v>4506753.451</v>
      </c>
      <c r="AI66" s="120">
        <f>'3.2 Yfirlit'!AI65+'3.2 Yfirlit'!AI68-('3.2 Yfirlit'!AI33-'3.2 Yfirlit'!AI31-'3.2 Yfirlit'!AI42-('3.2 Yfirlit'!AI48+'3.2 Yfirlit'!AI52-'3.2 Yfirlit'!AI50))</f>
        <v>3405418.56</v>
      </c>
      <c r="AJ66" s="120">
        <f>'3.2 Yfirlit'!AJ65+'3.2 Yfirlit'!AJ68-('3.2 Yfirlit'!AJ33-'3.2 Yfirlit'!AJ31-'3.2 Yfirlit'!AJ42-('3.2 Yfirlit'!AJ48+'3.2 Yfirlit'!AJ52-'3.2 Yfirlit'!AJ50))</f>
        <v>3366329.254</v>
      </c>
      <c r="AK66" s="120">
        <f>'3.2 Yfirlit'!AK65+'3.2 Yfirlit'!AK68-('3.2 Yfirlit'!AK33-'3.2 Yfirlit'!AK31-'3.2 Yfirlit'!AK42-('3.2 Yfirlit'!AK48+'3.2 Yfirlit'!AK52-'3.2 Yfirlit'!AK50))</f>
        <v>2902606.857</v>
      </c>
      <c r="AL66" s="120">
        <f>'3.2 Yfirlit'!AL65+'3.2 Yfirlit'!AL68-('3.2 Yfirlit'!AL33-'3.2 Yfirlit'!AL31-'3.2 Yfirlit'!AL42-('3.2 Yfirlit'!AL48+'3.2 Yfirlit'!AL52-'3.2 Yfirlit'!AL50))</f>
        <v>2681699.2320000003</v>
      </c>
      <c r="AM66" s="120">
        <f>'3.2 Yfirlit'!AM65+'3.2 Yfirlit'!AM68-('3.2 Yfirlit'!AM33-'3.2 Yfirlit'!AM31-'3.2 Yfirlit'!AM42-('3.2 Yfirlit'!AM48+'3.2 Yfirlit'!AM52-'3.2 Yfirlit'!AM50))</f>
        <v>2660360.7260000003</v>
      </c>
      <c r="AN66" s="120">
        <f>'3.2 Yfirlit'!AN65+'3.2 Yfirlit'!AN68-('3.2 Yfirlit'!AN33-'3.2 Yfirlit'!AN31-'3.2 Yfirlit'!AN42-('3.2 Yfirlit'!AN48+'3.2 Yfirlit'!AN52-'3.2 Yfirlit'!AN50))</f>
        <v>2184675.3399999994</v>
      </c>
      <c r="AO66" s="120">
        <f>'3.2 Yfirlit'!AO65+'3.2 Yfirlit'!AO68-('3.2 Yfirlit'!AO33-'3.2 Yfirlit'!AO31-'3.2 Yfirlit'!AO42-('3.2 Yfirlit'!AO48+'3.2 Yfirlit'!AO52-'3.2 Yfirlit'!AO50))</f>
        <v>2064922.7390000005</v>
      </c>
      <c r="AP66" s="120">
        <f>'3.2 Yfirlit'!AP65+'3.2 Yfirlit'!AP68-('3.2 Yfirlit'!AP33-'3.2 Yfirlit'!AP31-'3.2 Yfirlit'!AP42-('3.2 Yfirlit'!AP48+'3.2 Yfirlit'!AP52-'3.2 Yfirlit'!AP50))</f>
        <v>1951881.0659999999</v>
      </c>
      <c r="AQ66" s="120">
        <f>'3.2 Yfirlit'!AQ65+'3.2 Yfirlit'!AQ68-('3.2 Yfirlit'!AQ33-'3.2 Yfirlit'!AQ31-'3.2 Yfirlit'!AQ42-('3.2 Yfirlit'!AQ48+'3.2 Yfirlit'!AQ52-'3.2 Yfirlit'!AQ50))</f>
        <v>1774285.125</v>
      </c>
      <c r="AR66" s="120">
        <f>'3.2 Yfirlit'!AR65+'3.2 Yfirlit'!AR68-('3.2 Yfirlit'!AR33-'3.2 Yfirlit'!AR31-'3.2 Yfirlit'!AR42-('3.2 Yfirlit'!AR48+'3.2 Yfirlit'!AR52-'3.2 Yfirlit'!AR50))</f>
        <v>1289312.728</v>
      </c>
      <c r="AS66" s="120">
        <f>'3.2 Yfirlit'!AS65+'3.2 Yfirlit'!AS68-('3.2 Yfirlit'!AS33-'3.2 Yfirlit'!AS31-'3.2 Yfirlit'!AS42-('3.2 Yfirlit'!AS48+'3.2 Yfirlit'!AS52-'3.2 Yfirlit'!AS50))</f>
        <v>1706286.7440000002</v>
      </c>
      <c r="AT66" s="120">
        <f>'3.2 Yfirlit'!AT65+'3.2 Yfirlit'!AT68-('3.2 Yfirlit'!AT33-'3.2 Yfirlit'!AT31-'3.2 Yfirlit'!AT42-('3.2 Yfirlit'!AT48+'3.2 Yfirlit'!AT52-'3.2 Yfirlit'!AT50))</f>
        <v>1685630.552</v>
      </c>
      <c r="AU66" s="120">
        <f>'3.2 Yfirlit'!AU65+'3.2 Yfirlit'!AU68-('3.2 Yfirlit'!AU33-'3.2 Yfirlit'!AU31-'3.2 Yfirlit'!AU42-('3.2 Yfirlit'!AU48+'3.2 Yfirlit'!AU52-'3.2 Yfirlit'!AU50))</f>
        <v>1297512.521</v>
      </c>
      <c r="AV66" s="120">
        <f>'3.2 Yfirlit'!AV65+'3.2 Yfirlit'!AV68-('3.2 Yfirlit'!AV33-'3.2 Yfirlit'!AV31-'3.2 Yfirlit'!AV42-('3.2 Yfirlit'!AV48+'3.2 Yfirlit'!AV52-'3.2 Yfirlit'!AV50))</f>
        <v>1198529.234</v>
      </c>
      <c r="AW66" s="120">
        <f>'3.2 Yfirlit'!AW65+'3.2 Yfirlit'!AW68-('3.2 Yfirlit'!AW33-'3.2 Yfirlit'!AW31-'3.2 Yfirlit'!AW42-('3.2 Yfirlit'!AW48+'3.2 Yfirlit'!AW52-'3.2 Yfirlit'!AW50))</f>
        <v>611913.0739999999</v>
      </c>
      <c r="AX66" s="120">
        <f>'3.2 Yfirlit'!AX65+'3.2 Yfirlit'!AX68-('3.2 Yfirlit'!AX33-'3.2 Yfirlit'!AX31-'3.2 Yfirlit'!AX42-('3.2 Yfirlit'!AX48+'3.2 Yfirlit'!AX52-'3.2 Yfirlit'!AX50))</f>
        <v>1042299.5380000001</v>
      </c>
      <c r="AY66" s="120">
        <f>'3.2 Yfirlit'!AY65+'3.2 Yfirlit'!AY68-('3.2 Yfirlit'!AY33-'3.2 Yfirlit'!AY31-'3.2 Yfirlit'!AY42-('3.2 Yfirlit'!AY48+'3.2 Yfirlit'!AY52-'3.2 Yfirlit'!AY50))</f>
        <v>842437.937</v>
      </c>
      <c r="AZ66" s="120">
        <f>'3.2 Yfirlit'!AZ65+'3.2 Yfirlit'!AZ68-('3.2 Yfirlit'!AZ33-'3.2 Yfirlit'!AZ31-'3.2 Yfirlit'!AZ42-('3.2 Yfirlit'!AZ48+'3.2 Yfirlit'!AZ52-'3.2 Yfirlit'!AZ50))</f>
        <v>778393.936</v>
      </c>
      <c r="BA66" s="120">
        <f>'3.2 Yfirlit'!BA65+'3.2 Yfirlit'!BA68-('3.2 Yfirlit'!BA33-'3.2 Yfirlit'!BA31-'3.2 Yfirlit'!BA42-('3.2 Yfirlit'!BA48+'3.2 Yfirlit'!BA52-'3.2 Yfirlit'!BA50))</f>
        <v>749020.456</v>
      </c>
      <c r="BB66" s="120">
        <f>'3.2 Yfirlit'!BB65+'3.2 Yfirlit'!BB68-('3.2 Yfirlit'!BB33-'3.2 Yfirlit'!BB31-'3.2 Yfirlit'!BB42-('3.2 Yfirlit'!BB48+'3.2 Yfirlit'!BB52-'3.2 Yfirlit'!BB50))</f>
        <v>492013.143</v>
      </c>
      <c r="BC66" s="120">
        <f>'3.2 Yfirlit'!BC65+'3.2 Yfirlit'!BC68-('3.2 Yfirlit'!BC33-'3.2 Yfirlit'!BC31-'3.2 Yfirlit'!BC42-('3.2 Yfirlit'!BC48+'3.2 Yfirlit'!BC52-'3.2 Yfirlit'!BC50))</f>
        <v>308629.67299999995</v>
      </c>
      <c r="BD66" s="120">
        <f>'3.2 Yfirlit'!BD65+'3.2 Yfirlit'!BD68-('3.2 Yfirlit'!BD33-'3.2 Yfirlit'!BD31-'3.2 Yfirlit'!BD42-('3.2 Yfirlit'!BD48+'3.2 Yfirlit'!BD52-'3.2 Yfirlit'!BD50))</f>
        <v>302051.224</v>
      </c>
      <c r="BE66" s="120">
        <f>'3.2 Yfirlit'!BE65+'3.2 Yfirlit'!BE68-('3.2 Yfirlit'!BE33-'3.2 Yfirlit'!BE31-'3.2 Yfirlit'!BE42-('3.2 Yfirlit'!BE48+'3.2 Yfirlit'!BE52-'3.2 Yfirlit'!BE50))</f>
        <v>325129.6549999999</v>
      </c>
      <c r="BF66" s="120">
        <f>'3.2 Yfirlit'!BF65+'3.2 Yfirlit'!BF68-('3.2 Yfirlit'!BF33-'3.2 Yfirlit'!BF31-'3.2 Yfirlit'!BF42-('3.2 Yfirlit'!BF48+'3.2 Yfirlit'!BF52-'3.2 Yfirlit'!BF50))</f>
        <v>200442.77100000004</v>
      </c>
      <c r="BG66" s="120">
        <f>'3.2 Yfirlit'!BG65+'3.2 Yfirlit'!BG68-('3.2 Yfirlit'!BG33-'3.2 Yfirlit'!BG31-'3.2 Yfirlit'!BG42-('3.2 Yfirlit'!BG48+'3.2 Yfirlit'!BG52-'3.2 Yfirlit'!BG50))</f>
        <v>175021.95599999998</v>
      </c>
      <c r="BH66" s="120">
        <f>'3.2 Yfirlit'!BH65+'3.2 Yfirlit'!BH68-('3.2 Yfirlit'!BH33-'3.2 Yfirlit'!BH31-'3.2 Yfirlit'!BH42-('3.2 Yfirlit'!BH48+'3.2 Yfirlit'!BH52-'3.2 Yfirlit'!BH50))</f>
        <v>65437.406</v>
      </c>
      <c r="BI66" s="120">
        <f>'3.2 Yfirlit'!BI65+'3.2 Yfirlit'!BI68-('3.2 Yfirlit'!BI33-'3.2 Yfirlit'!BI31-'3.2 Yfirlit'!BI42-('3.2 Yfirlit'!BI48+'3.2 Yfirlit'!BI52-'3.2 Yfirlit'!BI50))</f>
        <v>20338.364</v>
      </c>
      <c r="BK66" s="120">
        <f>SUM(B66:BI66)</f>
        <v>846687392.0769994</v>
      </c>
      <c r="BL66" s="120"/>
      <c r="BM66" s="41">
        <f>C66+V66+AD66+AH66+AN66+AP66+AS66+AU66+AW66+AZ66+BB66+BD66+BE66+BG66</f>
        <v>124060627.90900002</v>
      </c>
      <c r="BN66" s="41">
        <f>B66+D66+E66+F66+G66+H66+I66+J66+K66+L66+M66+N66+O66+P66+Q66+R66+S66+T66+U66+W66+X66+Y66+Z66+AA66+AB66+AC66+AE66+AF66+AG66+AI66+AJ66+AK66+AL66+AM66+AO66+AQ66+AT66+AV66+AX66+AY66+BA66+BC66+BH66+BI66+AR66+BF66</f>
        <v>722626764.1679995</v>
      </c>
      <c r="BO66" s="120"/>
      <c r="BP66" s="4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  <c r="CJ66" s="121"/>
      <c r="CK66" s="121"/>
      <c r="CL66" s="121"/>
      <c r="CM66" s="121"/>
      <c r="CN66" s="121"/>
      <c r="CO66" s="121"/>
      <c r="CP66" s="121"/>
      <c r="CQ66" s="121"/>
      <c r="CR66" s="121"/>
      <c r="CS66" s="121"/>
      <c r="CT66" s="121"/>
      <c r="CU66" s="121"/>
      <c r="CV66" s="121"/>
      <c r="CW66" s="121"/>
      <c r="CX66" s="121"/>
      <c r="CY66" s="121"/>
      <c r="CZ66" s="121"/>
      <c r="DA66" s="121"/>
    </row>
    <row r="67" spans="1:105" ht="12.75">
      <c r="A67" s="22" t="s">
        <v>475</v>
      </c>
      <c r="B67" s="125">
        <f aca="true" t="shared" si="12" ref="B67:AG67">B63/B66</f>
        <v>0.1805227446358936</v>
      </c>
      <c r="C67" s="125">
        <f t="shared" si="12"/>
        <v>0.14505618369289833</v>
      </c>
      <c r="D67" s="125">
        <f t="shared" si="12"/>
        <v>0.21154166374746933</v>
      </c>
      <c r="E67" s="125">
        <f t="shared" si="12"/>
        <v>0.24398348644709153</v>
      </c>
      <c r="F67" s="125">
        <f t="shared" si="12"/>
        <v>0.18624120228706623</v>
      </c>
      <c r="G67" s="125">
        <f t="shared" si="12"/>
        <v>0.2255247750684739</v>
      </c>
      <c r="H67" s="125">
        <f t="shared" si="12"/>
        <v>0.16513379342237902</v>
      </c>
      <c r="I67" s="125">
        <f t="shared" si="12"/>
        <v>0.13487034895663408</v>
      </c>
      <c r="J67" s="125">
        <f t="shared" si="12"/>
        <v>0.18829633452813369</v>
      </c>
      <c r="K67" s="125">
        <f t="shared" si="12"/>
        <v>0.20348625349972368</v>
      </c>
      <c r="L67" s="125">
        <f t="shared" si="12"/>
        <v>0.14490346843930935</v>
      </c>
      <c r="M67" s="125">
        <f t="shared" si="12"/>
        <v>0.20560219585233408</v>
      </c>
      <c r="N67" s="125">
        <f t="shared" si="12"/>
        <v>0.16057769624925805</v>
      </c>
      <c r="O67" s="125">
        <f t="shared" si="12"/>
        <v>0.22654581296852835</v>
      </c>
      <c r="P67" s="125">
        <f t="shared" si="12"/>
        <v>0.28359056791163473</v>
      </c>
      <c r="Q67" s="125">
        <f t="shared" si="12"/>
        <v>0.14804712260163405</v>
      </c>
      <c r="R67" s="125">
        <f t="shared" si="12"/>
        <v>0.19148614798387914</v>
      </c>
      <c r="S67" s="125">
        <f t="shared" si="12"/>
        <v>0.15799770097452015</v>
      </c>
      <c r="T67" s="125">
        <f t="shared" si="12"/>
        <v>0.22387657296431152</v>
      </c>
      <c r="U67" s="125">
        <f t="shared" si="12"/>
        <v>0.1397991855416604</v>
      </c>
      <c r="V67" s="125">
        <f t="shared" si="12"/>
        <v>0.15193358930498052</v>
      </c>
      <c r="W67" s="125">
        <f t="shared" si="12"/>
        <v>0.13802319254287176</v>
      </c>
      <c r="X67" s="125">
        <f t="shared" si="12"/>
        <v>0.20474112177079448</v>
      </c>
      <c r="Y67" s="125">
        <f t="shared" si="12"/>
        <v>0.1613520443508266</v>
      </c>
      <c r="Z67" s="125">
        <f t="shared" si="12"/>
        <v>0.15083184752962547</v>
      </c>
      <c r="AA67" s="125">
        <f t="shared" si="12"/>
        <v>0.20564163912243857</v>
      </c>
      <c r="AB67" s="125">
        <f t="shared" si="12"/>
        <v>0.1609320359834326</v>
      </c>
      <c r="AC67" s="125">
        <f t="shared" si="12"/>
        <v>0.12772509518244185</v>
      </c>
      <c r="AD67" s="125">
        <f t="shared" si="12"/>
        <v>0.09688118745606648</v>
      </c>
      <c r="AE67" s="125">
        <f t="shared" si="12"/>
        <v>0.2879187597836071</v>
      </c>
      <c r="AF67" s="125">
        <f t="shared" si="12"/>
        <v>0.14054260861264747</v>
      </c>
      <c r="AG67" s="125">
        <f t="shared" si="12"/>
        <v>0.22165790769264035</v>
      </c>
      <c r="AH67" s="125">
        <f aca="true" t="shared" si="13" ref="AH67:BI67">AH63/AH66</f>
        <v>0.12167789295824959</v>
      </c>
      <c r="AI67" s="125">
        <f t="shared" si="13"/>
        <v>0.14528440991406352</v>
      </c>
      <c r="AJ67" s="125">
        <f t="shared" si="13"/>
        <v>0.15992473860371828</v>
      </c>
      <c r="AK67" s="125">
        <f t="shared" si="13"/>
        <v>0.1107696480577838</v>
      </c>
      <c r="AL67" s="125">
        <f>AL63/AL66</f>
        <v>0.12213675795242947</v>
      </c>
      <c r="AM67" s="125">
        <f t="shared" si="13"/>
        <v>0.141397505354693</v>
      </c>
      <c r="AN67" s="125">
        <f t="shared" si="13"/>
        <v>0.14083859709791025</v>
      </c>
      <c r="AO67" s="125">
        <f t="shared" si="13"/>
        <v>0.1468725237375576</v>
      </c>
      <c r="AP67" s="125">
        <f t="shared" si="13"/>
        <v>0.14399788946976755</v>
      </c>
      <c r="AQ67" s="125">
        <f t="shared" si="13"/>
        <v>0.18328121304629663</v>
      </c>
      <c r="AR67" s="125">
        <f>AR63/AR66</f>
        <v>0.2851550364901075</v>
      </c>
      <c r="AS67" s="125">
        <f t="shared" si="13"/>
        <v>0.15614057891315367</v>
      </c>
      <c r="AT67" s="125">
        <f t="shared" si="13"/>
        <v>0.1119101737781032</v>
      </c>
      <c r="AU67" s="125">
        <f t="shared" si="13"/>
        <v>0.10615172321716655</v>
      </c>
      <c r="AV67" s="125">
        <f t="shared" si="13"/>
        <v>0.14079498039177574</v>
      </c>
      <c r="AW67" s="125">
        <f>AW63/AW66</f>
        <v>0.06659899539914065</v>
      </c>
      <c r="AX67" s="125">
        <f t="shared" si="13"/>
        <v>0.12764405158932343</v>
      </c>
      <c r="AY67" s="125">
        <f t="shared" si="13"/>
        <v>0.12278211540228869</v>
      </c>
      <c r="AZ67" s="125">
        <f t="shared" si="13"/>
        <v>0.1170968346289892</v>
      </c>
      <c r="BA67" s="125">
        <f t="shared" si="13"/>
        <v>0.1263463864597044</v>
      </c>
      <c r="BB67" s="125">
        <f t="shared" si="13"/>
        <v>0.10753185509924477</v>
      </c>
      <c r="BC67" s="125">
        <f t="shared" si="13"/>
        <v>0.12033341330728108</v>
      </c>
      <c r="BD67" s="125">
        <f t="shared" si="13"/>
        <v>0.09521854478563545</v>
      </c>
      <c r="BE67" s="125">
        <f t="shared" si="13"/>
        <v>0.06920726440656422</v>
      </c>
      <c r="BF67" s="125">
        <f>BF63/BF66</f>
        <v>0.10991593206421996</v>
      </c>
      <c r="BG67" s="125">
        <f t="shared" si="13"/>
        <v>0.0838889036298966</v>
      </c>
      <c r="BH67" s="125">
        <f t="shared" si="13"/>
        <v>0.12090317272050789</v>
      </c>
      <c r="BI67" s="125">
        <f t="shared" si="13"/>
        <v>0.07174264360692925</v>
      </c>
      <c r="BK67" s="125">
        <f>BK63/BK66</f>
        <v>0.18284595303141238</v>
      </c>
      <c r="BL67" s="125"/>
      <c r="BM67" s="125">
        <f>BM63/BM66</f>
        <v>0.14119970389678477</v>
      </c>
      <c r="BN67" s="125">
        <f>BN63/BN66</f>
        <v>0.18999578483102075</v>
      </c>
      <c r="BO67" s="125"/>
      <c r="BP67" s="125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  <c r="CJ67" s="121"/>
      <c r="CK67" s="121"/>
      <c r="CL67" s="121"/>
      <c r="CM67" s="121"/>
      <c r="CN67" s="121"/>
      <c r="CO67" s="121"/>
      <c r="CP67" s="121"/>
      <c r="CQ67" s="121"/>
      <c r="CR67" s="121"/>
      <c r="CS67" s="121"/>
      <c r="CT67" s="121"/>
      <c r="CU67" s="121"/>
      <c r="CV67" s="121"/>
      <c r="CW67" s="121"/>
      <c r="CX67" s="121"/>
      <c r="CY67" s="121"/>
      <c r="CZ67" s="121"/>
      <c r="DA67" s="121"/>
    </row>
    <row r="68" spans="1:105" ht="12.75">
      <c r="A68" s="28" t="s">
        <v>476</v>
      </c>
      <c r="B68" s="126">
        <v>0.056</v>
      </c>
      <c r="C68" s="126">
        <v>0.056</v>
      </c>
      <c r="D68" s="126">
        <v>0.056</v>
      </c>
      <c r="E68" s="126">
        <v>0.056</v>
      </c>
      <c r="F68" s="126">
        <v>0.056</v>
      </c>
      <c r="G68" s="126">
        <v>0.056</v>
      </c>
      <c r="H68" s="126">
        <v>0.056</v>
      </c>
      <c r="I68" s="126">
        <v>0.056</v>
      </c>
      <c r="J68" s="126">
        <v>0.056</v>
      </c>
      <c r="K68" s="126">
        <v>0.056</v>
      </c>
      <c r="L68" s="126">
        <v>0.056</v>
      </c>
      <c r="M68" s="126">
        <v>0.056</v>
      </c>
      <c r="N68" s="126">
        <v>0.056</v>
      </c>
      <c r="O68" s="126">
        <v>0.056</v>
      </c>
      <c r="P68" s="126">
        <v>0.056</v>
      </c>
      <c r="Q68" s="126">
        <v>0.056</v>
      </c>
      <c r="R68" s="126">
        <v>0.056</v>
      </c>
      <c r="S68" s="126">
        <v>0.056</v>
      </c>
      <c r="T68" s="126">
        <v>0.056</v>
      </c>
      <c r="U68" s="126">
        <v>0.056</v>
      </c>
      <c r="V68" s="126">
        <v>0.056</v>
      </c>
      <c r="W68" s="126">
        <v>0.056</v>
      </c>
      <c r="X68" s="126">
        <v>0.056</v>
      </c>
      <c r="Y68" s="126">
        <v>0.056</v>
      </c>
      <c r="Z68" s="126">
        <v>0.056</v>
      </c>
      <c r="AA68" s="126">
        <v>0.056</v>
      </c>
      <c r="AB68" s="126">
        <v>0.056</v>
      </c>
      <c r="AC68" s="126">
        <v>0.056</v>
      </c>
      <c r="AD68" s="126">
        <v>0.056</v>
      </c>
      <c r="AE68" s="126">
        <v>0.056</v>
      </c>
      <c r="AF68" s="126">
        <v>0.056</v>
      </c>
      <c r="AG68" s="126">
        <v>0.056</v>
      </c>
      <c r="AH68" s="126">
        <v>0.056</v>
      </c>
      <c r="AI68" s="126">
        <v>0.056</v>
      </c>
      <c r="AJ68" s="126">
        <v>0.056</v>
      </c>
      <c r="AK68" s="126">
        <v>0.056</v>
      </c>
      <c r="AL68" s="126">
        <v>0.056</v>
      </c>
      <c r="AM68" s="126">
        <v>0.056</v>
      </c>
      <c r="AN68" s="126">
        <v>0.056</v>
      </c>
      <c r="AO68" s="126">
        <v>0.056</v>
      </c>
      <c r="AP68" s="126">
        <v>0.056</v>
      </c>
      <c r="AQ68" s="126">
        <v>0.056</v>
      </c>
      <c r="AR68" s="126">
        <v>0.056</v>
      </c>
      <c r="AS68" s="126">
        <v>0.056</v>
      </c>
      <c r="AT68" s="126">
        <v>0.056</v>
      </c>
      <c r="AU68" s="126">
        <v>0.056</v>
      </c>
      <c r="AV68" s="126">
        <v>0.056</v>
      </c>
      <c r="AW68" s="126">
        <v>0.056</v>
      </c>
      <c r="AX68" s="126">
        <v>0.056</v>
      </c>
      <c r="AY68" s="126">
        <v>0.056</v>
      </c>
      <c r="AZ68" s="126">
        <v>0.056</v>
      </c>
      <c r="BA68" s="126">
        <v>0.056</v>
      </c>
      <c r="BB68" s="126">
        <v>0.056</v>
      </c>
      <c r="BC68" s="126">
        <v>0.056</v>
      </c>
      <c r="BD68" s="126">
        <v>0.056</v>
      </c>
      <c r="BE68" s="126">
        <v>0.056</v>
      </c>
      <c r="BF68" s="126">
        <v>0.056</v>
      </c>
      <c r="BG68" s="126">
        <v>0.056</v>
      </c>
      <c r="BH68" s="126">
        <v>0.056</v>
      </c>
      <c r="BI68" s="126">
        <v>0.056</v>
      </c>
      <c r="BK68" s="126">
        <v>0.056</v>
      </c>
      <c r="BL68" s="126"/>
      <c r="BM68" s="126">
        <v>0.056</v>
      </c>
      <c r="BN68" s="126">
        <v>0.056</v>
      </c>
      <c r="BO68" s="126"/>
      <c r="BP68" s="126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  <c r="CJ68" s="121"/>
      <c r="CK68" s="121"/>
      <c r="CL68" s="121"/>
      <c r="CM68" s="121"/>
      <c r="CN68" s="121"/>
      <c r="CO68" s="121"/>
      <c r="CP68" s="121"/>
      <c r="CQ68" s="121"/>
      <c r="CR68" s="121"/>
      <c r="CS68" s="121"/>
      <c r="CT68" s="121"/>
      <c r="CU68" s="121"/>
      <c r="CV68" s="121"/>
      <c r="CW68" s="121"/>
      <c r="CX68" s="121"/>
      <c r="CY68" s="121"/>
      <c r="CZ68" s="121"/>
      <c r="DA68" s="121"/>
    </row>
    <row r="69" spans="1:105" ht="12">
      <c r="A69" s="29"/>
      <c r="B69" s="124"/>
      <c r="C69" s="124"/>
      <c r="D69" s="124"/>
      <c r="E69" s="124"/>
      <c r="F69" s="124"/>
      <c r="G69" s="124"/>
      <c r="H69" s="124"/>
      <c r="I69" s="124"/>
      <c r="J69" s="124"/>
      <c r="K69" s="124"/>
      <c r="L69" s="124"/>
      <c r="M69" s="124"/>
      <c r="N69" s="124"/>
      <c r="O69" s="124"/>
      <c r="P69" s="124"/>
      <c r="Q69" s="124"/>
      <c r="R69" s="124"/>
      <c r="S69" s="124"/>
      <c r="T69" s="124"/>
      <c r="U69" s="121"/>
      <c r="V69" s="124"/>
      <c r="W69" s="124"/>
      <c r="X69" s="124"/>
      <c r="Y69" s="124"/>
      <c r="Z69" s="121"/>
      <c r="AA69" s="124"/>
      <c r="AB69" s="124"/>
      <c r="AC69" s="124"/>
      <c r="AD69" s="124"/>
      <c r="AE69" s="124"/>
      <c r="AF69" s="124"/>
      <c r="AG69" s="124"/>
      <c r="AH69" s="124"/>
      <c r="AI69" s="124"/>
      <c r="AJ69" s="124"/>
      <c r="AK69" s="124"/>
      <c r="AL69" s="124"/>
      <c r="AM69" s="124"/>
      <c r="AN69" s="124"/>
      <c r="AO69" s="124"/>
      <c r="AP69" s="124"/>
      <c r="AQ69" s="124"/>
      <c r="AR69" s="124"/>
      <c r="AS69" s="124"/>
      <c r="AT69" s="124"/>
      <c r="AU69" s="124"/>
      <c r="AV69" s="124"/>
      <c r="AW69" s="121"/>
      <c r="AX69" s="124"/>
      <c r="AY69" s="124"/>
      <c r="AZ69" s="124"/>
      <c r="BA69" s="124"/>
      <c r="BB69" s="124"/>
      <c r="BC69" s="124"/>
      <c r="BD69" s="124"/>
      <c r="BE69" s="124"/>
      <c r="BF69" s="124"/>
      <c r="BG69" s="124"/>
      <c r="BH69" s="124"/>
      <c r="BI69" s="124"/>
      <c r="BK69" s="127"/>
      <c r="BL69" s="127"/>
      <c r="BM69" s="127"/>
      <c r="BN69" s="127"/>
      <c r="BO69" s="127"/>
      <c r="BP69" s="127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  <c r="CJ69" s="121"/>
      <c r="CK69" s="121"/>
      <c r="CL69" s="121"/>
      <c r="CM69" s="121"/>
      <c r="CN69" s="121"/>
      <c r="CO69" s="121"/>
      <c r="CP69" s="121"/>
      <c r="CQ69" s="121"/>
      <c r="CR69" s="121"/>
      <c r="CS69" s="121"/>
      <c r="CT69" s="121"/>
      <c r="CU69" s="121"/>
      <c r="CV69" s="121"/>
      <c r="CW69" s="121"/>
      <c r="CX69" s="121"/>
      <c r="CY69" s="121"/>
      <c r="CZ69" s="121"/>
      <c r="DA69" s="121"/>
    </row>
    <row r="70" spans="1:105" ht="12.75">
      <c r="A70" s="28" t="s">
        <v>148</v>
      </c>
      <c r="B70" s="125">
        <f>(1+B67)/(1+B68)-1</f>
        <v>0.11791926575368716</v>
      </c>
      <c r="C70" s="125">
        <f aca="true" t="shared" si="14" ref="C70:BI70">(1+C67)/(1+C68)-1</f>
        <v>0.0843335072849416</v>
      </c>
      <c r="D70" s="125">
        <f t="shared" si="14"/>
        <v>0.14729324218510365</v>
      </c>
      <c r="E70" s="125">
        <f t="shared" si="14"/>
        <v>0.17801466519610942</v>
      </c>
      <c r="F70" s="125">
        <f t="shared" si="14"/>
        <v>0.12333447186275204</v>
      </c>
      <c r="G70" s="125">
        <f t="shared" si="14"/>
        <v>0.1605348248754488</v>
      </c>
      <c r="H70" s="125">
        <f t="shared" si="14"/>
        <v>0.10334639528634382</v>
      </c>
      <c r="I70" s="125">
        <f t="shared" si="14"/>
        <v>0.07468783045135807</v>
      </c>
      <c r="J70" s="125">
        <f t="shared" si="14"/>
        <v>0.1252806198183083</v>
      </c>
      <c r="K70" s="125">
        <f t="shared" si="14"/>
        <v>0.13966501278382926</v>
      </c>
      <c r="L70" s="125">
        <f t="shared" si="14"/>
        <v>0.08418889056752765</v>
      </c>
      <c r="M70" s="125">
        <f t="shared" si="14"/>
        <v>0.14166874607228608</v>
      </c>
      <c r="N70" s="125">
        <f t="shared" si="14"/>
        <v>0.09903190932694872</v>
      </c>
      <c r="O70" s="125">
        <f t="shared" si="14"/>
        <v>0.1615017168262578</v>
      </c>
      <c r="P70" s="125">
        <f t="shared" si="14"/>
        <v>0.21552137112844205</v>
      </c>
      <c r="Q70" s="125">
        <f t="shared" si="14"/>
        <v>0.08716583579700177</v>
      </c>
      <c r="R70" s="125">
        <f t="shared" si="14"/>
        <v>0.12830127649988565</v>
      </c>
      <c r="S70" s="125">
        <f t="shared" si="14"/>
        <v>0.09658873198344708</v>
      </c>
      <c r="T70" s="125">
        <f t="shared" si="14"/>
        <v>0.15897402742832534</v>
      </c>
      <c r="U70" s="125">
        <f t="shared" si="14"/>
        <v>0.07935528933869351</v>
      </c>
      <c r="V70" s="125">
        <f t="shared" si="14"/>
        <v>0.0908462019933527</v>
      </c>
      <c r="W70" s="125">
        <f t="shared" si="14"/>
        <v>0.07767347778681044</v>
      </c>
      <c r="X70" s="125">
        <f t="shared" si="14"/>
        <v>0.1408533350102219</v>
      </c>
      <c r="Y70" s="125">
        <f t="shared" si="14"/>
        <v>0.09976519351404023</v>
      </c>
      <c r="Z70" s="125">
        <f t="shared" si="14"/>
        <v>0.08980288591820584</v>
      </c>
      <c r="AA70" s="125">
        <f t="shared" si="14"/>
        <v>0.14170609765382425</v>
      </c>
      <c r="AB70" s="125">
        <f t="shared" si="14"/>
        <v>0.09936745831764449</v>
      </c>
      <c r="AC70" s="125">
        <f t="shared" si="14"/>
        <v>0.06792149165003947</v>
      </c>
      <c r="AD70" s="125">
        <f t="shared" si="14"/>
        <v>0.038713245697032495</v>
      </c>
      <c r="AE70" s="125">
        <f t="shared" si="14"/>
        <v>0.21962003767387017</v>
      </c>
      <c r="AF70" s="125">
        <f t="shared" si="14"/>
        <v>0.08005928845894661</v>
      </c>
      <c r="AG70" s="125">
        <f t="shared" si="14"/>
        <v>0.15687301864833358</v>
      </c>
      <c r="AH70" s="125">
        <f t="shared" si="14"/>
        <v>0.06219497439228183</v>
      </c>
      <c r="AI70" s="125">
        <f t="shared" si="14"/>
        <v>0.08454963060043896</v>
      </c>
      <c r="AJ70" s="125">
        <f t="shared" si="14"/>
        <v>0.09841357822321806</v>
      </c>
      <c r="AK70" s="125">
        <f t="shared" si="14"/>
        <v>0.05186519702441639</v>
      </c>
      <c r="AL70" s="125">
        <f>(1+AL67)/(1+AL68)-1</f>
        <v>0.06262950563677028</v>
      </c>
      <c r="AM70" s="125">
        <f t="shared" si="14"/>
        <v>0.0808688497677017</v>
      </c>
      <c r="AN70" s="125">
        <f t="shared" si="14"/>
        <v>0.08033958058514212</v>
      </c>
      <c r="AO70" s="125">
        <f t="shared" si="14"/>
        <v>0.08605352626662643</v>
      </c>
      <c r="AP70" s="125">
        <f t="shared" si="14"/>
        <v>0.08333133472515852</v>
      </c>
      <c r="AQ70" s="125">
        <f t="shared" si="14"/>
        <v>0.12053145174838686</v>
      </c>
      <c r="AR70" s="125">
        <f>(1+AR67)/(1+AR68)-1</f>
        <v>0.2170028754641169</v>
      </c>
      <c r="AS70" s="125">
        <f t="shared" si="14"/>
        <v>0.09483009366775907</v>
      </c>
      <c r="AT70" s="125">
        <f t="shared" si="14"/>
        <v>0.05294524032017334</v>
      </c>
      <c r="AU70" s="125">
        <f t="shared" si="14"/>
        <v>0.04749216213746821</v>
      </c>
      <c r="AV70" s="125">
        <f t="shared" si="14"/>
        <v>0.08029827688615132</v>
      </c>
      <c r="AW70" s="125">
        <f>(1+AW67)/(1+AW68)-1</f>
        <v>0.010036927461307243</v>
      </c>
      <c r="AX70" s="125">
        <f t="shared" si="14"/>
        <v>0.06784474582322275</v>
      </c>
      <c r="AY70" s="125">
        <f t="shared" si="14"/>
        <v>0.06324063958550075</v>
      </c>
      <c r="AZ70" s="125">
        <f t="shared" si="14"/>
        <v>0.0578568509744215</v>
      </c>
      <c r="BA70" s="125">
        <f t="shared" si="14"/>
        <v>0.06661589626865938</v>
      </c>
      <c r="BB70" s="125">
        <f t="shared" si="14"/>
        <v>0.04879910520761821</v>
      </c>
      <c r="BC70" s="125">
        <f t="shared" si="14"/>
        <v>0.060921792904622185</v>
      </c>
      <c r="BD70" s="125">
        <f t="shared" si="14"/>
        <v>0.03713877347124561</v>
      </c>
      <c r="BE70" s="125">
        <f t="shared" si="14"/>
        <v>0.012506879172882623</v>
      </c>
      <c r="BF70" s="125">
        <f>(1+BF67)/(1+BF68)-1</f>
        <v>0.05105675384869324</v>
      </c>
      <c r="BG70" s="125">
        <f t="shared" si="14"/>
        <v>0.026409946619220248</v>
      </c>
      <c r="BH70" s="125">
        <f t="shared" si="14"/>
        <v>0.06146133780351115</v>
      </c>
      <c r="BI70" s="125">
        <f t="shared" si="14"/>
        <v>0.014907806445955796</v>
      </c>
      <c r="BK70" s="125">
        <f>((1+BK67)/(1+BK68))-1</f>
        <v>0.1201192737039889</v>
      </c>
      <c r="BL70" s="125"/>
      <c r="BM70" s="125">
        <f>((1+BM67)/(1+BM68))-1</f>
        <v>0.08068153778104614</v>
      </c>
      <c r="BN70" s="125">
        <f>((1+BN67)/(1+BN68))-1</f>
        <v>0.1268899477566483</v>
      </c>
      <c r="BO70" s="125"/>
      <c r="BP70" s="125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  <c r="CJ70" s="121"/>
      <c r="CK70" s="121"/>
      <c r="CL70" s="121"/>
      <c r="CM70" s="121"/>
      <c r="CN70" s="121"/>
      <c r="CO70" s="121"/>
      <c r="CP70" s="121"/>
      <c r="CQ70" s="121"/>
      <c r="CR70" s="121"/>
      <c r="CS70" s="121"/>
      <c r="CT70" s="121"/>
      <c r="CU70" s="121"/>
      <c r="CV70" s="121"/>
      <c r="CW70" s="121"/>
      <c r="CX70" s="121"/>
      <c r="CY70" s="121"/>
      <c r="CZ70" s="121"/>
      <c r="DA70" s="121"/>
    </row>
    <row r="72" spans="8:40" ht="12.75">
      <c r="H72" s="5"/>
      <c r="M72" s="5"/>
      <c r="AN72" s="5"/>
    </row>
    <row r="73" spans="8:40" ht="12.75">
      <c r="H73" s="5"/>
      <c r="M73" s="5"/>
      <c r="AN73" s="5"/>
    </row>
    <row r="74" spans="8:40" ht="12.75">
      <c r="H74" s="5"/>
      <c r="M74" s="5"/>
      <c r="AN74" s="5"/>
    </row>
    <row r="75" spans="8:40" ht="12.75">
      <c r="H75" s="5"/>
      <c r="M75" s="5"/>
      <c r="AN75" s="5"/>
    </row>
    <row r="77" spans="8:40" ht="12.75">
      <c r="H77" s="5"/>
      <c r="M77" s="5"/>
      <c r="AN77" s="5"/>
    </row>
    <row r="78" spans="8:40" ht="12.75">
      <c r="H78" s="5"/>
      <c r="M78" s="5"/>
      <c r="AN78" s="5"/>
    </row>
    <row r="79" spans="8:40" ht="12.75">
      <c r="H79" s="5"/>
      <c r="M79" s="5"/>
      <c r="AN79" s="5"/>
    </row>
    <row r="80" spans="8:40" ht="12.75">
      <c r="H80" s="5"/>
      <c r="M80" s="5"/>
      <c r="AN80" s="5"/>
    </row>
    <row r="81" spans="8:40" ht="12.75">
      <c r="H81" s="5"/>
      <c r="M81" s="5"/>
      <c r="AN81" s="5"/>
    </row>
    <row r="82" spans="8:40" ht="12.75">
      <c r="H82" s="5"/>
      <c r="M82" s="5"/>
      <c r="AN82" s="5"/>
    </row>
    <row r="83" spans="8:40" ht="12.75">
      <c r="H83" s="5"/>
      <c r="M83" s="5"/>
      <c r="AN83" s="5"/>
    </row>
    <row r="85" ht="12.75">
      <c r="AN85" s="19"/>
    </row>
    <row r="86" ht="12.75">
      <c r="AN86" s="19"/>
    </row>
    <row r="87" ht="12.75">
      <c r="AN87" s="19"/>
    </row>
    <row r="88" ht="12.75">
      <c r="AN88" s="18"/>
    </row>
    <row r="89" ht="12">
      <c r="AN89" s="13"/>
    </row>
    <row r="90" ht="12">
      <c r="AN90" s="13"/>
    </row>
    <row r="91" ht="12">
      <c r="AN91" s="13"/>
    </row>
    <row r="92" ht="12">
      <c r="AN92" s="13"/>
    </row>
    <row r="93" ht="12.75">
      <c r="AN93" s="38"/>
    </row>
    <row r="94" ht="12.75">
      <c r="AN94" s="38"/>
    </row>
    <row r="95" ht="12.75">
      <c r="AN95" s="38"/>
    </row>
    <row r="96" ht="12.75">
      <c r="AN96" s="38"/>
    </row>
    <row r="97" ht="12.75">
      <c r="AN97" s="38"/>
    </row>
    <row r="98" ht="12.75">
      <c r="AN98" s="38"/>
    </row>
    <row r="99" ht="12.75">
      <c r="AN99" s="38"/>
    </row>
    <row r="100" ht="12.75">
      <c r="AN100" s="38"/>
    </row>
    <row r="101" ht="12.75">
      <c r="AN101" s="38"/>
    </row>
    <row r="102" ht="12.75">
      <c r="AN102" s="38"/>
    </row>
    <row r="103" ht="12.75">
      <c r="AN103" s="38"/>
    </row>
    <row r="104" ht="12.75">
      <c r="AN104" s="38"/>
    </row>
    <row r="105" ht="12.75">
      <c r="AN105" s="38"/>
    </row>
    <row r="106" ht="12.75">
      <c r="AN106" s="38"/>
    </row>
    <row r="107" ht="12.75">
      <c r="AN107" s="38"/>
    </row>
  </sheetData>
  <sheetProtection/>
  <printOptions/>
  <pageMargins left="0.68" right="0.71" top="1.25" bottom="0.984251968503937" header="0.71" footer="0.5118110236220472"/>
  <pageSetup horizontalDpi="600" verticalDpi="600" orientation="portrait" paperSize="9" r:id="rId1"/>
  <headerFooter alignWithMargins="0">
    <oddHeader xml:space="preserve">&amp;C&amp;"Times New Roman,Bold"&amp;14 3.5. SUNDURLIÐUN Á ÖÐRUM FJÁRFESTINGUM 31.12.1999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107"/>
  <sheetViews>
    <sheetView tabSelected="1" zoomScalePageLayoutView="0" workbookViewId="0" topLeftCell="A1">
      <selection activeCell="C3" sqref="C3"/>
    </sheetView>
  </sheetViews>
  <sheetFormatPr defaultColWidth="9.00390625" defaultRowHeight="12.75"/>
  <cols>
    <col min="1" max="1" width="2.875" style="6" customWidth="1"/>
    <col min="2" max="2" width="1.37890625" style="6" customWidth="1"/>
    <col min="3" max="3" width="33.00390625" style="8" customWidth="1"/>
    <col min="4" max="4" width="5.125" style="6" customWidth="1"/>
    <col min="5" max="5" width="9.625" style="7" customWidth="1"/>
    <col min="6" max="6" width="4.375" style="8" customWidth="1"/>
    <col min="7" max="7" width="9.625" style="7" customWidth="1"/>
    <col min="8" max="8" width="5.50390625" style="8" customWidth="1"/>
    <col min="9" max="9" width="7.375" style="8" customWidth="1"/>
    <col min="10" max="11" width="0" style="8" hidden="1" customWidth="1"/>
    <col min="12" max="16384" width="9.00390625" style="8" customWidth="1"/>
  </cols>
  <sheetData>
    <row r="1" spans="1:9" ht="18.75">
      <c r="A1" s="68"/>
      <c r="B1" s="68"/>
      <c r="C1" s="69"/>
      <c r="D1" s="70" t="s">
        <v>450</v>
      </c>
      <c r="E1" s="71"/>
      <c r="F1" s="69"/>
      <c r="G1" s="71"/>
      <c r="H1" s="69"/>
      <c r="I1" s="69"/>
    </row>
    <row r="2" spans="1:9" ht="15.75">
      <c r="A2" s="68"/>
      <c r="B2" s="68"/>
      <c r="C2" s="69"/>
      <c r="D2" s="72"/>
      <c r="E2" s="71"/>
      <c r="F2" s="69"/>
      <c r="G2" s="71"/>
      <c r="H2" s="69"/>
      <c r="I2" s="69"/>
    </row>
    <row r="3" spans="1:9" ht="15.75">
      <c r="A3" s="68"/>
      <c r="B3" s="68"/>
      <c r="C3" s="69"/>
      <c r="D3" s="72"/>
      <c r="E3" s="73" t="s">
        <v>539</v>
      </c>
      <c r="F3" s="74"/>
      <c r="G3" s="73" t="s">
        <v>538</v>
      </c>
      <c r="H3" s="74"/>
      <c r="I3" s="75" t="s">
        <v>174</v>
      </c>
    </row>
    <row r="4" spans="1:9" ht="13.5" customHeight="1">
      <c r="A4" s="68"/>
      <c r="B4" s="68"/>
      <c r="C4" s="69"/>
      <c r="D4" s="68"/>
      <c r="E4" s="76" t="s">
        <v>448</v>
      </c>
      <c r="F4" s="74"/>
      <c r="G4" s="76" t="s">
        <v>430</v>
      </c>
      <c r="H4" s="74"/>
      <c r="I4" s="77" t="s">
        <v>449</v>
      </c>
    </row>
    <row r="5" spans="1:9" ht="13.5" customHeight="1">
      <c r="A5" s="68"/>
      <c r="B5" s="68"/>
      <c r="C5" s="69"/>
      <c r="D5" s="68"/>
      <c r="E5" s="78" t="s">
        <v>175</v>
      </c>
      <c r="F5" s="79"/>
      <c r="G5" s="78" t="s">
        <v>175</v>
      </c>
      <c r="H5" s="79"/>
      <c r="I5" s="79" t="s">
        <v>176</v>
      </c>
    </row>
    <row r="6" spans="1:9" ht="9" customHeight="1">
      <c r="A6" s="68"/>
      <c r="B6" s="68"/>
      <c r="C6" s="69"/>
      <c r="D6" s="68"/>
      <c r="G6" s="71"/>
      <c r="H6" s="69"/>
      <c r="I6" s="69"/>
    </row>
    <row r="7" spans="1:9" ht="13.5" customHeight="1">
      <c r="A7" s="80" t="s">
        <v>177</v>
      </c>
      <c r="B7" s="68"/>
      <c r="C7" s="69" t="s">
        <v>178</v>
      </c>
      <c r="D7" s="68"/>
      <c r="E7" s="41">
        <v>75604040.74800001</v>
      </c>
      <c r="F7"/>
      <c r="G7" s="41">
        <v>60859823.211</v>
      </c>
      <c r="H7" s="41"/>
      <c r="I7" s="139">
        <f>(E7/G7)-1</f>
        <v>0.24226520484428704</v>
      </c>
    </row>
    <row r="8" spans="1:9" ht="13.5" customHeight="1">
      <c r="A8" s="80" t="s">
        <v>179</v>
      </c>
      <c r="B8" s="68"/>
      <c r="C8" s="119" t="s">
        <v>500</v>
      </c>
      <c r="D8" s="80" t="s">
        <v>504</v>
      </c>
      <c r="E8" s="41">
        <v>61105843.680999994</v>
      </c>
      <c r="F8"/>
      <c r="G8" s="41">
        <v>39840414.886</v>
      </c>
      <c r="H8" s="41"/>
      <c r="I8" s="139">
        <f aca="true" t="shared" si="0" ref="I8:I45">(E8/G8)-1</f>
        <v>0.5337652445600587</v>
      </c>
    </row>
    <row r="9" spans="1:9" ht="13.5" customHeight="1">
      <c r="A9" s="80" t="s">
        <v>181</v>
      </c>
      <c r="B9" s="68"/>
      <c r="C9" s="69" t="s">
        <v>286</v>
      </c>
      <c r="D9" s="68"/>
      <c r="E9" s="41">
        <v>45578662.67</v>
      </c>
      <c r="F9"/>
      <c r="G9" s="41">
        <v>36889115.788</v>
      </c>
      <c r="H9" s="41"/>
      <c r="I9" s="139">
        <f t="shared" si="0"/>
        <v>0.23555855694504624</v>
      </c>
    </row>
    <row r="10" spans="1:9" ht="13.5" customHeight="1">
      <c r="A10" s="80" t="s">
        <v>183</v>
      </c>
      <c r="B10" s="68"/>
      <c r="C10" s="69" t="s">
        <v>184</v>
      </c>
      <c r="D10" s="68"/>
      <c r="E10" s="41">
        <v>39546394.131</v>
      </c>
      <c r="F10"/>
      <c r="G10" s="41">
        <v>30829389.566</v>
      </c>
      <c r="H10" s="41"/>
      <c r="I10" s="139">
        <f t="shared" si="0"/>
        <v>0.2827498269577642</v>
      </c>
    </row>
    <row r="11" spans="1:9" ht="13.5" customHeight="1">
      <c r="A11" s="80" t="s">
        <v>185</v>
      </c>
      <c r="B11" s="68"/>
      <c r="C11" s="69" t="s">
        <v>180</v>
      </c>
      <c r="D11" s="68"/>
      <c r="E11" s="41">
        <v>38938962.862</v>
      </c>
      <c r="F11"/>
      <c r="G11" s="41">
        <v>32018392.846</v>
      </c>
      <c r="H11" s="41"/>
      <c r="I11" s="139">
        <f t="shared" si="0"/>
        <v>0.21614357876380974</v>
      </c>
    </row>
    <row r="12" spans="1:9" ht="13.5" customHeight="1">
      <c r="A12" s="80" t="s">
        <v>187</v>
      </c>
      <c r="B12" s="68"/>
      <c r="C12" s="69" t="s">
        <v>190</v>
      </c>
      <c r="D12" s="68"/>
      <c r="E12" s="41">
        <v>18733051.8</v>
      </c>
      <c r="F12"/>
      <c r="G12" s="41">
        <v>14796322.698</v>
      </c>
      <c r="H12" s="41"/>
      <c r="I12" s="139">
        <f t="shared" si="0"/>
        <v>0.2660613168792354</v>
      </c>
    </row>
    <row r="13" spans="1:9" ht="13.5" customHeight="1">
      <c r="A13" s="80" t="s">
        <v>189</v>
      </c>
      <c r="B13" s="68"/>
      <c r="C13" s="69" t="s">
        <v>188</v>
      </c>
      <c r="D13" s="68"/>
      <c r="E13" s="41">
        <v>17707301.233000003</v>
      </c>
      <c r="F13"/>
      <c r="G13" s="41">
        <v>14658914.538</v>
      </c>
      <c r="H13" s="41"/>
      <c r="I13" s="139">
        <f t="shared" si="0"/>
        <v>0.2079544625966494</v>
      </c>
    </row>
    <row r="14" spans="1:9" ht="13.5" customHeight="1">
      <c r="A14" s="80" t="s">
        <v>191</v>
      </c>
      <c r="B14" s="68"/>
      <c r="C14" s="69" t="s">
        <v>432</v>
      </c>
      <c r="D14" s="68"/>
      <c r="E14" s="41">
        <v>17152927.465</v>
      </c>
      <c r="F14"/>
      <c r="G14" s="41">
        <v>14242356.033</v>
      </c>
      <c r="H14" s="41"/>
      <c r="I14" s="139">
        <f t="shared" si="0"/>
        <v>0.20436024947390097</v>
      </c>
    </row>
    <row r="15" spans="1:9" ht="13.5" customHeight="1">
      <c r="A15" s="80" t="s">
        <v>193</v>
      </c>
      <c r="B15" s="68"/>
      <c r="C15" s="69" t="s">
        <v>192</v>
      </c>
      <c r="D15" s="68"/>
      <c r="E15" s="41">
        <v>14568854.772</v>
      </c>
      <c r="F15"/>
      <c r="G15" s="41">
        <v>12055750.979</v>
      </c>
      <c r="H15" s="41"/>
      <c r="I15" s="139">
        <f t="shared" si="0"/>
        <v>0.20845684332544634</v>
      </c>
    </row>
    <row r="16" spans="1:9" ht="13.5" customHeight="1">
      <c r="A16" s="80" t="s">
        <v>195</v>
      </c>
      <c r="B16" s="68"/>
      <c r="C16" s="69" t="s">
        <v>383</v>
      </c>
      <c r="D16" s="68"/>
      <c r="E16" s="41">
        <v>14543967.708</v>
      </c>
      <c r="F16"/>
      <c r="G16" s="41">
        <v>11328355.783</v>
      </c>
      <c r="H16" s="41"/>
      <c r="I16" s="139">
        <f t="shared" si="0"/>
        <v>0.28385513190056577</v>
      </c>
    </row>
    <row r="17" spans="1:9" ht="13.5" customHeight="1">
      <c r="A17" s="80" t="s">
        <v>197</v>
      </c>
      <c r="B17" s="68"/>
      <c r="C17" s="69" t="s">
        <v>196</v>
      </c>
      <c r="D17" s="68"/>
      <c r="E17" s="41">
        <v>13468985.357</v>
      </c>
      <c r="F17"/>
      <c r="G17" s="41">
        <v>11327795.789</v>
      </c>
      <c r="H17" s="41"/>
      <c r="I17" s="139">
        <f t="shared" si="0"/>
        <v>0.18902084817588505</v>
      </c>
    </row>
    <row r="18" spans="1:9" ht="13.5" customHeight="1">
      <c r="A18" s="80" t="s">
        <v>199</v>
      </c>
      <c r="B18" s="68"/>
      <c r="C18" s="69" t="s">
        <v>198</v>
      </c>
      <c r="D18" s="68"/>
      <c r="E18" s="41">
        <v>12158485.009</v>
      </c>
      <c r="F18"/>
      <c r="G18" s="41">
        <v>9791024.37</v>
      </c>
      <c r="H18" s="41"/>
      <c r="I18" s="139">
        <f t="shared" si="0"/>
        <v>0.24179907530962463</v>
      </c>
    </row>
    <row r="19" spans="1:9" ht="13.5" customHeight="1">
      <c r="A19" s="80" t="s">
        <v>200</v>
      </c>
      <c r="B19" s="68"/>
      <c r="C19" s="69" t="s">
        <v>194</v>
      </c>
      <c r="D19" s="68"/>
      <c r="E19" s="41">
        <v>11379958.215</v>
      </c>
      <c r="F19"/>
      <c r="G19" s="41">
        <v>9900849.698</v>
      </c>
      <c r="H19" s="41"/>
      <c r="I19" s="139">
        <f t="shared" si="0"/>
        <v>0.14939207867167026</v>
      </c>
    </row>
    <row r="20" spans="1:9" ht="13.5" customHeight="1">
      <c r="A20" s="80" t="s">
        <v>201</v>
      </c>
      <c r="B20" s="68"/>
      <c r="C20" s="69" t="s">
        <v>204</v>
      </c>
      <c r="D20" s="68"/>
      <c r="E20" s="41">
        <v>11378547.701</v>
      </c>
      <c r="F20"/>
      <c r="G20" s="41">
        <v>8906129.371</v>
      </c>
      <c r="H20" s="41"/>
      <c r="I20" s="139">
        <f t="shared" si="0"/>
        <v>0.2776086251397436</v>
      </c>
    </row>
    <row r="21" spans="1:9" ht="13.5" customHeight="1">
      <c r="A21" s="80" t="s">
        <v>203</v>
      </c>
      <c r="B21" s="68"/>
      <c r="C21" s="69" t="s">
        <v>441</v>
      </c>
      <c r="D21" s="68"/>
      <c r="E21" s="41">
        <v>10308089.395</v>
      </c>
      <c r="F21"/>
      <c r="G21" s="41">
        <v>7450892.072</v>
      </c>
      <c r="H21" s="41"/>
      <c r="I21" s="139">
        <f t="shared" si="0"/>
        <v>0.38347050197347166</v>
      </c>
    </row>
    <row r="22" spans="1:9" ht="13.5" customHeight="1">
      <c r="A22" s="80" t="s">
        <v>205</v>
      </c>
      <c r="B22" s="68"/>
      <c r="C22" s="69" t="s">
        <v>202</v>
      </c>
      <c r="D22" s="68"/>
      <c r="E22" s="41">
        <v>9696067.013</v>
      </c>
      <c r="F22"/>
      <c r="G22" s="41">
        <v>8211072.188</v>
      </c>
      <c r="H22" s="41"/>
      <c r="I22" s="139">
        <f t="shared" si="0"/>
        <v>0.1808527304351597</v>
      </c>
    </row>
    <row r="23" spans="1:9" ht="13.5" customHeight="1">
      <c r="A23" s="80" t="s">
        <v>206</v>
      </c>
      <c r="B23" s="68"/>
      <c r="C23" s="69" t="s">
        <v>416</v>
      </c>
      <c r="D23" s="68"/>
      <c r="E23" s="41">
        <v>9454707.752</v>
      </c>
      <c r="F23"/>
      <c r="G23" s="41">
        <v>7749802.787</v>
      </c>
      <c r="H23" s="41"/>
      <c r="I23" s="139">
        <f t="shared" si="0"/>
        <v>0.21999333555428202</v>
      </c>
    </row>
    <row r="24" spans="1:9" ht="13.5" customHeight="1">
      <c r="A24" s="80" t="s">
        <v>207</v>
      </c>
      <c r="B24" s="68"/>
      <c r="C24" s="69" t="s">
        <v>216</v>
      </c>
      <c r="D24" s="68"/>
      <c r="E24" s="41">
        <v>7464141.726</v>
      </c>
      <c r="F24"/>
      <c r="G24" s="41">
        <v>5437657.947</v>
      </c>
      <c r="H24" s="41"/>
      <c r="I24" s="139">
        <f t="shared" si="0"/>
        <v>0.3726758466148148</v>
      </c>
    </row>
    <row r="25" spans="1:9" ht="13.5" customHeight="1">
      <c r="A25" s="80" t="s">
        <v>208</v>
      </c>
      <c r="B25" s="68"/>
      <c r="C25" s="69" t="s">
        <v>210</v>
      </c>
      <c r="D25" s="68"/>
      <c r="E25" s="41">
        <v>6900107.050999999</v>
      </c>
      <c r="F25"/>
      <c r="G25" s="41">
        <v>5482530.702</v>
      </c>
      <c r="H25" s="41"/>
      <c r="I25" s="139">
        <f t="shared" si="0"/>
        <v>0.25856240959724586</v>
      </c>
    </row>
    <row r="26" spans="1:9" ht="13.5" customHeight="1">
      <c r="A26" s="80" t="s">
        <v>209</v>
      </c>
      <c r="B26" s="68"/>
      <c r="C26" s="69" t="s">
        <v>235</v>
      </c>
      <c r="D26" s="68"/>
      <c r="E26" s="41">
        <v>6617626.916</v>
      </c>
      <c r="F26"/>
      <c r="G26" s="41">
        <v>4405226.127</v>
      </c>
      <c r="H26" s="41"/>
      <c r="I26" s="139">
        <f t="shared" si="0"/>
        <v>0.5022218440592663</v>
      </c>
    </row>
    <row r="27" spans="1:9" ht="13.5" customHeight="1">
      <c r="A27" s="80" t="s">
        <v>211</v>
      </c>
      <c r="B27" s="68"/>
      <c r="C27" s="69" t="s">
        <v>288</v>
      </c>
      <c r="D27" s="68" t="s">
        <v>182</v>
      </c>
      <c r="E27" s="41">
        <v>6319783.056</v>
      </c>
      <c r="F27"/>
      <c r="G27" s="41">
        <v>4632716.112</v>
      </c>
      <c r="H27" s="41"/>
      <c r="I27" s="139">
        <f t="shared" si="0"/>
        <v>0.36416367919243653</v>
      </c>
    </row>
    <row r="28" spans="1:9" ht="13.5" customHeight="1">
      <c r="A28" s="80" t="s">
        <v>212</v>
      </c>
      <c r="B28" s="68"/>
      <c r="C28" s="69" t="s">
        <v>417</v>
      </c>
      <c r="D28" s="68"/>
      <c r="E28" s="41">
        <v>6153905.3100000005</v>
      </c>
      <c r="F28"/>
      <c r="G28" s="41">
        <v>5289685.843</v>
      </c>
      <c r="H28" s="41"/>
      <c r="I28" s="139">
        <f t="shared" si="0"/>
        <v>0.16337822181701922</v>
      </c>
    </row>
    <row r="29" spans="1:9" ht="13.5" customHeight="1">
      <c r="A29" s="80" t="s">
        <v>213</v>
      </c>
      <c r="B29" s="68"/>
      <c r="C29" s="69" t="s">
        <v>446</v>
      </c>
      <c r="D29" s="68"/>
      <c r="E29" s="41">
        <v>5978913.729</v>
      </c>
      <c r="F29"/>
      <c r="G29" s="41">
        <v>5379294.343</v>
      </c>
      <c r="H29" s="41"/>
      <c r="I29" s="139">
        <f t="shared" si="0"/>
        <v>0.11146803795562454</v>
      </c>
    </row>
    <row r="30" spans="1:9" ht="13.5" customHeight="1">
      <c r="A30" s="80" t="s">
        <v>214</v>
      </c>
      <c r="B30" s="68"/>
      <c r="C30" s="69" t="s">
        <v>273</v>
      </c>
      <c r="D30" s="80" t="s">
        <v>501</v>
      </c>
      <c r="E30" s="41">
        <v>5440357</v>
      </c>
      <c r="F30"/>
      <c r="G30" s="41">
        <v>3462154</v>
      </c>
      <c r="H30" s="41"/>
      <c r="I30" s="139">
        <f t="shared" si="0"/>
        <v>0.5713792627364351</v>
      </c>
    </row>
    <row r="31" spans="1:9" ht="13.5" customHeight="1">
      <c r="A31" s="80" t="s">
        <v>215</v>
      </c>
      <c r="B31" s="68"/>
      <c r="C31" s="69" t="s">
        <v>436</v>
      </c>
      <c r="D31" s="68"/>
      <c r="E31" s="41">
        <v>5096100.049</v>
      </c>
      <c r="F31"/>
      <c r="G31" s="41">
        <v>4084238.033</v>
      </c>
      <c r="H31" s="41"/>
      <c r="I31" s="139">
        <f t="shared" si="0"/>
        <v>0.24774805185797555</v>
      </c>
    </row>
    <row r="32" spans="1:9" ht="13.5" customHeight="1">
      <c r="A32" s="80" t="s">
        <v>218</v>
      </c>
      <c r="B32" s="68"/>
      <c r="C32" s="69" t="s">
        <v>440</v>
      </c>
      <c r="D32" s="68"/>
      <c r="E32" s="41">
        <v>4935652.306</v>
      </c>
      <c r="F32"/>
      <c r="G32" s="41">
        <v>3921718.433</v>
      </c>
      <c r="H32" s="41"/>
      <c r="I32" s="139">
        <f t="shared" si="0"/>
        <v>0.2585432611551284</v>
      </c>
    </row>
    <row r="33" spans="1:9" ht="13.5" customHeight="1">
      <c r="A33" s="80" t="s">
        <v>219</v>
      </c>
      <c r="B33" s="68"/>
      <c r="C33" s="69" t="s">
        <v>267</v>
      </c>
      <c r="D33" s="68"/>
      <c r="E33" s="41">
        <v>3322550.51</v>
      </c>
      <c r="F33"/>
      <c r="G33" s="41">
        <v>2314143.183</v>
      </c>
      <c r="H33" s="41"/>
      <c r="I33" s="139">
        <f t="shared" si="0"/>
        <v>0.43575839836008945</v>
      </c>
    </row>
    <row r="34" spans="1:9" ht="13.5" customHeight="1">
      <c r="A34" s="80" t="s">
        <v>220</v>
      </c>
      <c r="B34" s="68"/>
      <c r="C34" s="69" t="s">
        <v>223</v>
      </c>
      <c r="D34" s="68"/>
      <c r="E34" s="41">
        <v>3029798.1110000005</v>
      </c>
      <c r="F34"/>
      <c r="G34" s="41">
        <v>2626303.382</v>
      </c>
      <c r="H34" s="41"/>
      <c r="I34" s="139">
        <f t="shared" si="0"/>
        <v>0.15363599337587885</v>
      </c>
    </row>
    <row r="35" spans="1:9" ht="13.5" customHeight="1">
      <c r="A35" s="80" t="s">
        <v>222</v>
      </c>
      <c r="B35" s="68"/>
      <c r="C35" s="69" t="s">
        <v>225</v>
      </c>
      <c r="D35" s="68" t="s">
        <v>182</v>
      </c>
      <c r="E35" s="41">
        <v>3004878.7060000002</v>
      </c>
      <c r="F35"/>
      <c r="G35" s="41">
        <v>2688005.632</v>
      </c>
      <c r="H35" s="41"/>
      <c r="I35" s="139">
        <f t="shared" si="0"/>
        <v>0.11788408112978233</v>
      </c>
    </row>
    <row r="36" spans="1:9" ht="13.5" customHeight="1">
      <c r="A36" s="80" t="s">
        <v>224</v>
      </c>
      <c r="B36" s="68"/>
      <c r="C36" s="69" t="s">
        <v>232</v>
      </c>
      <c r="D36" s="68"/>
      <c r="E36" s="41">
        <v>2873725.847</v>
      </c>
      <c r="F36"/>
      <c r="G36" s="41">
        <v>2159322.44</v>
      </c>
      <c r="H36" s="41"/>
      <c r="I36" s="139">
        <f t="shared" si="0"/>
        <v>0.3308460995755689</v>
      </c>
    </row>
    <row r="37" spans="1:9" ht="13.5" customHeight="1">
      <c r="A37" s="80" t="s">
        <v>226</v>
      </c>
      <c r="B37" s="68"/>
      <c r="C37" s="69" t="s">
        <v>221</v>
      </c>
      <c r="D37" s="68"/>
      <c r="E37" s="41">
        <v>2843557.577</v>
      </c>
      <c r="F37"/>
      <c r="G37" s="41">
        <v>2501463.648</v>
      </c>
      <c r="H37" s="41"/>
      <c r="I37" s="139">
        <f t="shared" si="0"/>
        <v>0.13675750566014222</v>
      </c>
    </row>
    <row r="38" spans="1:9" ht="13.5" customHeight="1">
      <c r="A38" s="80" t="s">
        <v>227</v>
      </c>
      <c r="B38" s="68"/>
      <c r="C38" s="69" t="s">
        <v>228</v>
      </c>
      <c r="D38" s="80" t="s">
        <v>186</v>
      </c>
      <c r="E38" s="41">
        <v>2734930.638</v>
      </c>
      <c r="F38"/>
      <c r="G38" s="41">
        <v>2328985.67</v>
      </c>
      <c r="H38" s="41"/>
      <c r="I38" s="139">
        <f t="shared" si="0"/>
        <v>0.1743011875208318</v>
      </c>
    </row>
    <row r="39" spans="1:9" ht="13.5" customHeight="1">
      <c r="A39" s="80" t="s">
        <v>229</v>
      </c>
      <c r="B39" s="68"/>
      <c r="C39" s="69" t="s">
        <v>230</v>
      </c>
      <c r="D39" s="68" t="s">
        <v>182</v>
      </c>
      <c r="E39" s="41">
        <v>2533834.194</v>
      </c>
      <c r="F39"/>
      <c r="G39" s="41">
        <v>2247105.389</v>
      </c>
      <c r="H39" s="41"/>
      <c r="I39" s="139">
        <f t="shared" si="0"/>
        <v>0.12759917999555825</v>
      </c>
    </row>
    <row r="40" spans="1:9" ht="13.5" customHeight="1">
      <c r="A40" s="80" t="s">
        <v>231</v>
      </c>
      <c r="B40" s="68"/>
      <c r="C40" s="69" t="s">
        <v>240</v>
      </c>
      <c r="D40" s="68"/>
      <c r="E40" s="41">
        <v>1969065.521</v>
      </c>
      <c r="F40"/>
      <c r="G40" s="41">
        <v>1683730.152</v>
      </c>
      <c r="H40" s="41"/>
      <c r="I40" s="139">
        <f t="shared" si="0"/>
        <v>0.1694662108777154</v>
      </c>
    </row>
    <row r="41" spans="1:9" ht="13.5" customHeight="1">
      <c r="A41" s="80" t="s">
        <v>233</v>
      </c>
      <c r="B41" s="68"/>
      <c r="C41" s="69" t="s">
        <v>237</v>
      </c>
      <c r="D41" s="80" t="s">
        <v>186</v>
      </c>
      <c r="E41" s="41">
        <v>1941745.286</v>
      </c>
      <c r="F41"/>
      <c r="G41" s="41">
        <v>1693763.631</v>
      </c>
      <c r="H41" s="41"/>
      <c r="I41" s="139">
        <f t="shared" si="0"/>
        <v>0.14640865493940924</v>
      </c>
    </row>
    <row r="42" spans="1:9" ht="13.5" customHeight="1">
      <c r="A42" s="80" t="s">
        <v>234</v>
      </c>
      <c r="B42" s="68"/>
      <c r="C42" s="69" t="s">
        <v>243</v>
      </c>
      <c r="D42" s="68"/>
      <c r="E42" s="41">
        <v>1645907.111</v>
      </c>
      <c r="F42"/>
      <c r="G42" s="41">
        <v>1417460.116</v>
      </c>
      <c r="H42" s="41"/>
      <c r="I42" s="139">
        <f t="shared" si="0"/>
        <v>0.161166435952121</v>
      </c>
    </row>
    <row r="43" spans="1:9" ht="13.5" customHeight="1">
      <c r="A43" s="80" t="s">
        <v>236</v>
      </c>
      <c r="B43" s="68"/>
      <c r="C43" s="69" t="s">
        <v>248</v>
      </c>
      <c r="D43" s="68"/>
      <c r="E43" s="41">
        <v>1536425.976</v>
      </c>
      <c r="F43"/>
      <c r="G43" s="41">
        <v>1309040.281</v>
      </c>
      <c r="H43" s="41"/>
      <c r="I43" s="139">
        <f>(E43/G43)-1</f>
        <v>0.17370412377707423</v>
      </c>
    </row>
    <row r="44" spans="1:9" ht="13.5" customHeight="1">
      <c r="A44" s="80" t="s">
        <v>238</v>
      </c>
      <c r="B44" s="68"/>
      <c r="C44" s="69" t="s">
        <v>245</v>
      </c>
      <c r="D44" s="80" t="s">
        <v>186</v>
      </c>
      <c r="E44" s="41">
        <v>1508002.205</v>
      </c>
      <c r="F44"/>
      <c r="G44" s="41">
        <v>1340442.706</v>
      </c>
      <c r="H44" s="41"/>
      <c r="I44" s="139">
        <f t="shared" si="0"/>
        <v>0.12500310401181758</v>
      </c>
    </row>
    <row r="45" spans="1:9" ht="13.5" customHeight="1">
      <c r="A45" s="80" t="s">
        <v>239</v>
      </c>
      <c r="B45" s="68"/>
      <c r="C45" s="69" t="s">
        <v>251</v>
      </c>
      <c r="D45" s="68" t="s">
        <v>182</v>
      </c>
      <c r="E45" s="41">
        <v>1254878.1639999999</v>
      </c>
      <c r="F45"/>
      <c r="G45" s="41">
        <v>1083640.481</v>
      </c>
      <c r="H45" s="41"/>
      <c r="I45" s="139">
        <f t="shared" si="0"/>
        <v>0.1580207513491736</v>
      </c>
    </row>
    <row r="46" ht="12.75">
      <c r="A46" s="80"/>
    </row>
    <row r="47" ht="12.75">
      <c r="A47" s="80"/>
    </row>
    <row r="48" spans="1:9" ht="12.75">
      <c r="A48" s="68"/>
      <c r="B48" s="68"/>
      <c r="C48" s="69"/>
      <c r="D48" s="68"/>
      <c r="G48" s="71"/>
      <c r="H48" s="69"/>
      <c r="I48" s="69"/>
    </row>
    <row r="52" ht="12.75">
      <c r="C52"/>
    </row>
    <row r="53" ht="12.75">
      <c r="C53" s="9" t="s">
        <v>246</v>
      </c>
    </row>
    <row r="54" ht="12.75">
      <c r="C54" s="36" t="s">
        <v>502</v>
      </c>
    </row>
    <row r="55" ht="12.75">
      <c r="C55" s="36" t="s">
        <v>503</v>
      </c>
    </row>
    <row r="56" ht="12.75">
      <c r="C56" s="36"/>
    </row>
    <row r="59" spans="1:9" ht="13.5" customHeight="1">
      <c r="A59" s="30"/>
      <c r="E59" s="105" t="s">
        <v>538</v>
      </c>
      <c r="F59" s="106"/>
      <c r="G59" s="107" t="s">
        <v>538</v>
      </c>
      <c r="H59" s="106"/>
      <c r="I59" s="108" t="s">
        <v>174</v>
      </c>
    </row>
    <row r="60" spans="1:9" ht="13.5" customHeight="1">
      <c r="A60" s="30"/>
      <c r="C60" s="8" t="s">
        <v>147</v>
      </c>
      <c r="E60" s="105" t="s">
        <v>448</v>
      </c>
      <c r="F60" s="106"/>
      <c r="G60" s="107" t="s">
        <v>430</v>
      </c>
      <c r="H60" s="106"/>
      <c r="I60" s="108" t="s">
        <v>449</v>
      </c>
    </row>
    <row r="61" spans="1:9" ht="13.5" customHeight="1">
      <c r="A61" s="30"/>
      <c r="E61" s="104" t="s">
        <v>175</v>
      </c>
      <c r="F61" s="6"/>
      <c r="G61" s="78" t="s">
        <v>175</v>
      </c>
      <c r="H61" s="6"/>
      <c r="I61" s="109" t="s">
        <v>176</v>
      </c>
    </row>
    <row r="62" spans="1:9" ht="9" customHeight="1">
      <c r="A62" s="68"/>
      <c r="B62" s="68"/>
      <c r="C62" s="69"/>
      <c r="D62" s="68"/>
      <c r="G62" s="71"/>
      <c r="H62" s="69"/>
      <c r="I62" s="69"/>
    </row>
    <row r="63" spans="1:9" ht="13.5" customHeight="1">
      <c r="A63" s="30" t="s">
        <v>241</v>
      </c>
      <c r="C63" s="8" t="s">
        <v>447</v>
      </c>
      <c r="D63" s="30" t="s">
        <v>186</v>
      </c>
      <c r="E63" s="41">
        <v>1158585.3490000002</v>
      </c>
      <c r="F63" s="41"/>
      <c r="G63" s="41">
        <v>1057977.597</v>
      </c>
      <c r="H63" s="41"/>
      <c r="I63" s="139">
        <f>(E63/G63)-1</f>
        <v>0.09509440680528902</v>
      </c>
    </row>
    <row r="64" spans="1:9" ht="13.5" customHeight="1">
      <c r="A64" s="30" t="s">
        <v>242</v>
      </c>
      <c r="C64" s="8" t="s">
        <v>420</v>
      </c>
      <c r="D64" s="6" t="s">
        <v>182</v>
      </c>
      <c r="E64" s="41">
        <v>1144350.632</v>
      </c>
      <c r="F64" s="41"/>
      <c r="G64" s="41">
        <v>948063.811</v>
      </c>
      <c r="H64" s="41"/>
      <c r="I64" s="139">
        <f aca="true" t="shared" si="1" ref="I64:I83">(E64/G64)-1</f>
        <v>0.20703967256482492</v>
      </c>
    </row>
    <row r="65" spans="1:9" ht="13.5" customHeight="1">
      <c r="A65" s="30" t="s">
        <v>244</v>
      </c>
      <c r="C65" s="8" t="s">
        <v>257</v>
      </c>
      <c r="E65" s="41">
        <v>1071768.286</v>
      </c>
      <c r="F65" s="41"/>
      <c r="G65" s="41">
        <v>865113.404</v>
      </c>
      <c r="H65" s="41"/>
      <c r="I65" s="139">
        <f t="shared" si="1"/>
        <v>0.23887606069273204</v>
      </c>
    </row>
    <row r="66" spans="1:9" ht="13.5" customHeight="1">
      <c r="A66" s="30" t="s">
        <v>247</v>
      </c>
      <c r="C66" s="8" t="s">
        <v>384</v>
      </c>
      <c r="D66" s="30" t="s">
        <v>217</v>
      </c>
      <c r="E66" s="41">
        <v>1033815.554</v>
      </c>
      <c r="F66" s="41"/>
      <c r="G66" s="41">
        <v>439324.183</v>
      </c>
      <c r="H66" s="41"/>
      <c r="I66" s="139">
        <f>(E66/G66)-1</f>
        <v>1.3531951893483631</v>
      </c>
    </row>
    <row r="67" spans="1:9" ht="13.5" customHeight="1">
      <c r="A67" s="30" t="s">
        <v>249</v>
      </c>
      <c r="C67" s="8" t="s">
        <v>254</v>
      </c>
      <c r="D67" s="6" t="s">
        <v>182</v>
      </c>
      <c r="E67" s="41">
        <v>986069.7</v>
      </c>
      <c r="F67" s="41"/>
      <c r="G67" s="41">
        <v>853427.344</v>
      </c>
      <c r="H67" s="41"/>
      <c r="I67" s="139">
        <f t="shared" si="1"/>
        <v>0.15542313816464715</v>
      </c>
    </row>
    <row r="68" spans="1:9" ht="13.5" customHeight="1">
      <c r="A68" s="30" t="s">
        <v>250</v>
      </c>
      <c r="C68" s="8" t="s">
        <v>259</v>
      </c>
      <c r="E68" s="41">
        <v>960044.386</v>
      </c>
      <c r="F68" s="41"/>
      <c r="G68" s="41">
        <v>819905.77</v>
      </c>
      <c r="H68" s="41"/>
      <c r="I68" s="139">
        <f t="shared" si="1"/>
        <v>0.17092039247388158</v>
      </c>
    </row>
    <row r="69" spans="1:9" ht="13.5" customHeight="1">
      <c r="A69" s="30" t="s">
        <v>252</v>
      </c>
      <c r="C69" s="8" t="s">
        <v>263</v>
      </c>
      <c r="D69" s="6" t="s">
        <v>182</v>
      </c>
      <c r="E69" s="41">
        <v>712937.021</v>
      </c>
      <c r="F69" s="41"/>
      <c r="G69" s="41">
        <v>653442.095</v>
      </c>
      <c r="H69" s="41"/>
      <c r="I69" s="139">
        <f t="shared" si="1"/>
        <v>0.09104850522371066</v>
      </c>
    </row>
    <row r="70" spans="1:9" ht="13.5" customHeight="1">
      <c r="A70" s="30" t="s">
        <v>253</v>
      </c>
      <c r="C70" s="8" t="s">
        <v>261</v>
      </c>
      <c r="D70" s="30" t="s">
        <v>186</v>
      </c>
      <c r="E70" s="41">
        <v>663861.958</v>
      </c>
      <c r="F70" s="41"/>
      <c r="G70" s="41">
        <v>619040.726</v>
      </c>
      <c r="H70" s="41"/>
      <c r="I70" s="139">
        <f t="shared" si="1"/>
        <v>0.0724043348320833</v>
      </c>
    </row>
    <row r="71" spans="1:9" ht="13.5" customHeight="1">
      <c r="A71" s="30" t="s">
        <v>255</v>
      </c>
      <c r="C71" s="8" t="s">
        <v>437</v>
      </c>
      <c r="D71" s="30" t="s">
        <v>182</v>
      </c>
      <c r="E71" s="41">
        <v>575842.6259999999</v>
      </c>
      <c r="F71" s="41"/>
      <c r="G71" s="41">
        <v>56446.846</v>
      </c>
      <c r="H71" s="41"/>
      <c r="I71" s="139">
        <f>(E71/G71)-1</f>
        <v>9.20150224159557</v>
      </c>
    </row>
    <row r="72" spans="1:9" ht="13.5" customHeight="1">
      <c r="A72" s="30" t="s">
        <v>256</v>
      </c>
      <c r="C72" s="8" t="s">
        <v>265</v>
      </c>
      <c r="D72" s="30" t="s">
        <v>186</v>
      </c>
      <c r="E72" s="41">
        <v>573198.334</v>
      </c>
      <c r="F72" s="41"/>
      <c r="G72" s="41">
        <v>535622.872</v>
      </c>
      <c r="H72" s="41"/>
      <c r="I72" s="139">
        <f t="shared" si="1"/>
        <v>0.0701528332046284</v>
      </c>
    </row>
    <row r="73" spans="1:9" ht="13.5" customHeight="1">
      <c r="A73" s="30" t="s">
        <v>258</v>
      </c>
      <c r="C73" s="8" t="s">
        <v>421</v>
      </c>
      <c r="D73" s="30" t="s">
        <v>186</v>
      </c>
      <c r="E73" s="41">
        <v>460896.326</v>
      </c>
      <c r="F73" s="41"/>
      <c r="G73" s="41">
        <v>433259.767</v>
      </c>
      <c r="H73" s="41"/>
      <c r="I73" s="139">
        <f t="shared" si="1"/>
        <v>0.06378750372175679</v>
      </c>
    </row>
    <row r="74" spans="1:9" ht="13.5" customHeight="1">
      <c r="A74" s="30" t="s">
        <v>260</v>
      </c>
      <c r="C74" s="8" t="s">
        <v>414</v>
      </c>
      <c r="D74" s="6" t="s">
        <v>182</v>
      </c>
      <c r="E74" s="41">
        <v>448140.628</v>
      </c>
      <c r="F74" s="41"/>
      <c r="G74" s="41">
        <v>375827.041</v>
      </c>
      <c r="H74" s="41"/>
      <c r="I74" s="139">
        <f t="shared" si="1"/>
        <v>0.19241187863328868</v>
      </c>
    </row>
    <row r="75" spans="1:9" ht="13.5" customHeight="1">
      <c r="A75" s="30" t="s">
        <v>262</v>
      </c>
      <c r="C75" s="8" t="s">
        <v>271</v>
      </c>
      <c r="D75" s="30" t="s">
        <v>186</v>
      </c>
      <c r="E75" s="41">
        <v>404826.634</v>
      </c>
      <c r="F75" s="41"/>
      <c r="G75" s="41">
        <v>391511.836</v>
      </c>
      <c r="H75" s="41"/>
      <c r="I75" s="139">
        <f t="shared" si="1"/>
        <v>0.03400867298428234</v>
      </c>
    </row>
    <row r="76" spans="1:9" ht="13.5" customHeight="1">
      <c r="A76" s="30" t="s">
        <v>264</v>
      </c>
      <c r="C76" s="8" t="s">
        <v>274</v>
      </c>
      <c r="D76" s="6" t="s">
        <v>182</v>
      </c>
      <c r="E76" s="41">
        <v>271325.78</v>
      </c>
      <c r="F76" s="41"/>
      <c r="G76" s="41">
        <v>247140.906</v>
      </c>
      <c r="H76" s="41"/>
      <c r="I76" s="139">
        <f t="shared" si="1"/>
        <v>0.09785864425049917</v>
      </c>
    </row>
    <row r="77" spans="1:9" ht="13.5" customHeight="1">
      <c r="A77" s="30" t="s">
        <v>266</v>
      </c>
      <c r="C77" s="8" t="s">
        <v>275</v>
      </c>
      <c r="D77" s="30" t="s">
        <v>186</v>
      </c>
      <c r="E77" s="41">
        <v>165042.606</v>
      </c>
      <c r="F77" s="41"/>
      <c r="G77" s="41">
        <v>162156.298</v>
      </c>
      <c r="H77" s="41"/>
      <c r="I77" s="139">
        <f t="shared" si="1"/>
        <v>0.01779954300634068</v>
      </c>
    </row>
    <row r="78" spans="1:9" ht="13.5" customHeight="1">
      <c r="A78" s="30" t="s">
        <v>268</v>
      </c>
      <c r="C78" s="8" t="s">
        <v>277</v>
      </c>
      <c r="D78" s="6" t="s">
        <v>182</v>
      </c>
      <c r="E78" s="41">
        <v>163389.986</v>
      </c>
      <c r="F78" s="41"/>
      <c r="G78" s="41">
        <v>153041.677</v>
      </c>
      <c r="H78" s="41"/>
      <c r="I78" s="139">
        <f t="shared" si="1"/>
        <v>0.06761758759347636</v>
      </c>
    </row>
    <row r="79" spans="1:9" ht="13.5" customHeight="1">
      <c r="A79" s="30" t="s">
        <v>269</v>
      </c>
      <c r="C79" s="8" t="s">
        <v>276</v>
      </c>
      <c r="D79" s="30" t="s">
        <v>478</v>
      </c>
      <c r="E79" s="41">
        <v>134524.91599999997</v>
      </c>
      <c r="F79" s="41"/>
      <c r="G79" s="41">
        <v>201855.406</v>
      </c>
      <c r="H79" s="41"/>
      <c r="I79" s="139">
        <f t="shared" si="1"/>
        <v>-0.3335580222211142</v>
      </c>
    </row>
    <row r="80" spans="1:9" ht="13.5" customHeight="1">
      <c r="A80" s="30" t="s">
        <v>270</v>
      </c>
      <c r="C80" s="8" t="s">
        <v>278</v>
      </c>
      <c r="D80" s="30" t="s">
        <v>529</v>
      </c>
      <c r="E80" s="153">
        <v>106532.07900000001</v>
      </c>
      <c r="F80" s="153"/>
      <c r="G80" s="153">
        <v>104926.619</v>
      </c>
      <c r="H80" s="153"/>
      <c r="I80" s="142">
        <f>(E80/G80)-1</f>
        <v>0.015300788449116087</v>
      </c>
    </row>
    <row r="81" spans="1:9" ht="13.5" customHeight="1">
      <c r="A81" s="30" t="s">
        <v>272</v>
      </c>
      <c r="C81" s="8" t="s">
        <v>279</v>
      </c>
      <c r="D81" s="6" t="s">
        <v>182</v>
      </c>
      <c r="E81" s="41">
        <v>88750.40299999999</v>
      </c>
      <c r="F81" s="41"/>
      <c r="G81" s="41">
        <v>93612.753</v>
      </c>
      <c r="H81" s="41"/>
      <c r="I81" s="139">
        <f t="shared" si="1"/>
        <v>-0.051941106784884394</v>
      </c>
    </row>
    <row r="82" spans="1:9" ht="13.5" customHeight="1">
      <c r="A82" s="30" t="s">
        <v>578</v>
      </c>
      <c r="C82" s="8" t="s">
        <v>280</v>
      </c>
      <c r="D82" s="30" t="s">
        <v>528</v>
      </c>
      <c r="E82" s="41">
        <v>34159.593</v>
      </c>
      <c r="F82" s="41"/>
      <c r="G82" s="41">
        <v>35233.608</v>
      </c>
      <c r="H82" s="41"/>
      <c r="I82" s="139">
        <f t="shared" si="1"/>
        <v>-0.030482685735732762</v>
      </c>
    </row>
    <row r="83" spans="1:9" ht="13.5" customHeight="1">
      <c r="A83" s="30" t="s">
        <v>579</v>
      </c>
      <c r="C83" s="8" t="s">
        <v>281</v>
      </c>
      <c r="D83" s="30" t="s">
        <v>186</v>
      </c>
      <c r="E83" s="140">
        <v>10213.533000000001</v>
      </c>
      <c r="F83" s="41"/>
      <c r="G83" s="140">
        <v>10854.395</v>
      </c>
      <c r="H83" s="41"/>
      <c r="I83" s="141">
        <f t="shared" si="1"/>
        <v>-0.05904170614760185</v>
      </c>
    </row>
    <row r="84" spans="1:9" ht="15.75" customHeight="1">
      <c r="A84" s="8"/>
      <c r="C84" s="11" t="s">
        <v>282</v>
      </c>
      <c r="E84" s="41">
        <f>SUM(E7:E83)</f>
        <v>517599010.8309999</v>
      </c>
      <c r="F84" s="41"/>
      <c r="G84" s="41">
        <f>SUM(G7:G83)</f>
        <v>407402815.8080002</v>
      </c>
      <c r="H84" s="41"/>
      <c r="I84" s="142">
        <f>(E84/G84)-1</f>
        <v>0.27048461804184654</v>
      </c>
    </row>
    <row r="85" ht="12" customHeight="1"/>
    <row r="87" spans="3:9" ht="12.75" customHeight="1">
      <c r="C87" s="11"/>
      <c r="I87" s="10"/>
    </row>
    <row r="88" spans="3:9" ht="12.75" customHeight="1">
      <c r="C88" s="11"/>
      <c r="I88" s="10"/>
    </row>
    <row r="89" spans="3:9" ht="12.75" customHeight="1">
      <c r="C89" s="11"/>
      <c r="I89" s="10"/>
    </row>
    <row r="90" spans="3:9" ht="12.75" customHeight="1">
      <c r="C90" s="11"/>
      <c r="I90" s="10"/>
    </row>
    <row r="91" spans="3:9" ht="12.75" customHeight="1">
      <c r="C91" s="11"/>
      <c r="I91" s="10"/>
    </row>
    <row r="92" spans="3:9" ht="12.75" customHeight="1">
      <c r="C92" s="11"/>
      <c r="I92" s="10"/>
    </row>
    <row r="93" spans="3:9" ht="12.75" customHeight="1">
      <c r="C93" s="11"/>
      <c r="I93" s="10"/>
    </row>
    <row r="94" spans="3:9" ht="12.75" customHeight="1">
      <c r="C94" s="11"/>
      <c r="I94" s="10"/>
    </row>
    <row r="95" spans="3:9" ht="12.75" customHeight="1">
      <c r="C95" s="11"/>
      <c r="I95" s="10"/>
    </row>
    <row r="96" spans="3:9" ht="12.75" customHeight="1">
      <c r="C96" s="11"/>
      <c r="I96" s="10"/>
    </row>
    <row r="100" spans="3:9" ht="12.75" customHeight="1">
      <c r="C100" s="11"/>
      <c r="I100" s="10"/>
    </row>
    <row r="101" ht="12.75">
      <c r="C101"/>
    </row>
    <row r="102" ht="12.75">
      <c r="C102"/>
    </row>
    <row r="103" ht="12.75">
      <c r="C103"/>
    </row>
    <row r="104" spans="3:9" ht="12.75" customHeight="1">
      <c r="C104" s="9" t="s">
        <v>246</v>
      </c>
      <c r="I104" s="10"/>
    </row>
    <row r="105" spans="3:9" ht="12.75" customHeight="1">
      <c r="C105" s="36" t="s">
        <v>502</v>
      </c>
      <c r="I105" s="10"/>
    </row>
    <row r="106" spans="3:9" ht="12.75" customHeight="1">
      <c r="C106" s="36" t="s">
        <v>503</v>
      </c>
      <c r="I106" s="10"/>
    </row>
    <row r="107" ht="12.75">
      <c r="C107" s="8" t="s">
        <v>147</v>
      </c>
    </row>
  </sheetData>
  <sheetProtection/>
  <printOptions/>
  <pageMargins left="0.5511811023622047" right="0.5511811023622047" top="1.1811023622047245" bottom="0.3937007874015748" header="0.7086614173228347" footer="0.5511811023622047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7"/>
  <sheetViews>
    <sheetView zoomScalePageLayoutView="0" workbookViewId="0" topLeftCell="A34">
      <selection activeCell="C1" sqref="C1"/>
    </sheetView>
  </sheetViews>
  <sheetFormatPr defaultColWidth="9.00390625" defaultRowHeight="12.75"/>
  <cols>
    <col min="1" max="1" width="2.375" style="0" customWidth="1"/>
    <col min="2" max="2" width="0.6171875" style="0" customWidth="1"/>
    <col min="3" max="3" width="26.375" style="0" customWidth="1"/>
    <col min="4" max="7" width="9.375" style="0" customWidth="1"/>
    <col min="8" max="8" width="9.125" style="0" customWidth="1"/>
  </cols>
  <sheetData>
    <row r="1" spans="1:8" ht="15" customHeight="1">
      <c r="A1" s="68"/>
      <c r="B1" s="68"/>
      <c r="C1" s="69"/>
      <c r="D1" s="73" t="s">
        <v>539</v>
      </c>
      <c r="E1" s="73"/>
      <c r="F1" s="76" t="s">
        <v>580</v>
      </c>
      <c r="G1" s="73" t="s">
        <v>581</v>
      </c>
      <c r="H1" s="73"/>
    </row>
    <row r="2" spans="1:8" ht="12.75">
      <c r="A2" s="68"/>
      <c r="B2" s="68"/>
      <c r="C2" s="69" t="s">
        <v>11</v>
      </c>
      <c r="D2" s="76" t="s">
        <v>448</v>
      </c>
      <c r="E2" s="76" t="s">
        <v>606</v>
      </c>
      <c r="F2" s="73" t="s">
        <v>605</v>
      </c>
      <c r="G2" s="73" t="s">
        <v>605</v>
      </c>
      <c r="H2" s="73" t="s">
        <v>607</v>
      </c>
    </row>
    <row r="3" spans="1:8" ht="6.75" customHeight="1">
      <c r="A3" s="68"/>
      <c r="B3" s="68"/>
      <c r="C3" s="69"/>
      <c r="D3" s="7"/>
      <c r="E3" s="7"/>
      <c r="F3" s="7"/>
      <c r="G3" s="7"/>
      <c r="H3" s="7"/>
    </row>
    <row r="4" spans="1:9" s="136" customFormat="1" ht="12" customHeight="1">
      <c r="A4" s="154" t="s">
        <v>177</v>
      </c>
      <c r="B4" s="155"/>
      <c r="C4" s="156" t="s">
        <v>178</v>
      </c>
      <c r="D4" s="149">
        <v>75604040.74800001</v>
      </c>
      <c r="E4" s="149">
        <f>D4-H4</f>
        <v>75459507.679</v>
      </c>
      <c r="F4" s="149"/>
      <c r="G4" s="149"/>
      <c r="H4" s="149">
        <v>144533.06900000005</v>
      </c>
      <c r="I4" s="149"/>
    </row>
    <row r="5" spans="1:9" s="136" customFormat="1" ht="12" customHeight="1">
      <c r="A5" s="154" t="s">
        <v>179</v>
      </c>
      <c r="B5" s="155"/>
      <c r="C5" s="156" t="s">
        <v>500</v>
      </c>
      <c r="D5" s="149">
        <v>61105843.680999994</v>
      </c>
      <c r="E5" s="149">
        <v>8065388</v>
      </c>
      <c r="F5" s="149">
        <f>52780488+39776+6627</f>
        <v>52826891</v>
      </c>
      <c r="G5" s="149"/>
      <c r="H5" s="149">
        <v>213564.89700000003</v>
      </c>
      <c r="I5" s="149"/>
    </row>
    <row r="6" spans="1:9" s="136" customFormat="1" ht="12" customHeight="1">
      <c r="A6" s="154" t="s">
        <v>181</v>
      </c>
      <c r="B6" s="155"/>
      <c r="C6" s="156" t="s">
        <v>286</v>
      </c>
      <c r="D6" s="149">
        <v>45578662.67</v>
      </c>
      <c r="E6" s="149">
        <f>D6-H6</f>
        <v>45559329.656</v>
      </c>
      <c r="F6" s="149"/>
      <c r="G6" s="149"/>
      <c r="H6" s="149">
        <v>19333.013999999996</v>
      </c>
      <c r="I6" s="149"/>
    </row>
    <row r="7" spans="1:9" s="136" customFormat="1" ht="12" customHeight="1">
      <c r="A7" s="154" t="s">
        <v>183</v>
      </c>
      <c r="B7" s="155"/>
      <c r="C7" s="156" t="s">
        <v>184</v>
      </c>
      <c r="D7" s="149">
        <v>39546394.131</v>
      </c>
      <c r="E7" s="149">
        <f>D7-H7</f>
        <v>39511549.202</v>
      </c>
      <c r="F7" s="149"/>
      <c r="G7" s="149"/>
      <c r="H7" s="149">
        <v>34844.929000000004</v>
      </c>
      <c r="I7" s="149"/>
    </row>
    <row r="8" spans="1:9" s="136" customFormat="1" ht="12" customHeight="1">
      <c r="A8" s="154" t="s">
        <v>185</v>
      </c>
      <c r="B8" s="155"/>
      <c r="C8" s="156" t="s">
        <v>180</v>
      </c>
      <c r="D8" s="149">
        <v>38938962.862</v>
      </c>
      <c r="E8" s="149">
        <f>D8</f>
        <v>38938962.862</v>
      </c>
      <c r="F8" s="149"/>
      <c r="G8" s="149"/>
      <c r="H8" s="149"/>
      <c r="I8" s="149"/>
    </row>
    <row r="9" spans="1:9" s="136" customFormat="1" ht="12" customHeight="1">
      <c r="A9" s="154" t="s">
        <v>187</v>
      </c>
      <c r="B9" s="155"/>
      <c r="C9" s="156" t="s">
        <v>190</v>
      </c>
      <c r="D9" s="149">
        <v>18733051.8</v>
      </c>
      <c r="E9" s="149">
        <f>D9-H9</f>
        <v>18724920.09</v>
      </c>
      <c r="F9" s="149"/>
      <c r="G9" s="149"/>
      <c r="H9" s="149">
        <v>8131.71</v>
      </c>
      <c r="I9" s="149"/>
    </row>
    <row r="10" spans="1:9" s="136" customFormat="1" ht="12" customHeight="1">
      <c r="A10" s="154" t="s">
        <v>189</v>
      </c>
      <c r="B10" s="155"/>
      <c r="C10" s="156" t="s">
        <v>188</v>
      </c>
      <c r="D10" s="149">
        <v>17707301.233000003</v>
      </c>
      <c r="E10" s="149">
        <f>D10-H10</f>
        <v>17695797.686000004</v>
      </c>
      <c r="F10" s="149"/>
      <c r="G10" s="149"/>
      <c r="H10" s="149">
        <v>11503.546999999999</v>
      </c>
      <c r="I10" s="149"/>
    </row>
    <row r="11" spans="1:9" s="136" customFormat="1" ht="12" customHeight="1">
      <c r="A11" s="154" t="s">
        <v>191</v>
      </c>
      <c r="B11" s="155"/>
      <c r="C11" s="156" t="s">
        <v>432</v>
      </c>
      <c r="D11" s="149">
        <v>17152927.465</v>
      </c>
      <c r="E11" s="149">
        <v>2154250</v>
      </c>
      <c r="F11" s="149">
        <v>14998678</v>
      </c>
      <c r="G11" s="149"/>
      <c r="H11" s="149"/>
      <c r="I11" s="149"/>
    </row>
    <row r="12" spans="1:9" s="136" customFormat="1" ht="12" customHeight="1">
      <c r="A12" s="154" t="s">
        <v>193</v>
      </c>
      <c r="B12" s="155"/>
      <c r="C12" s="156" t="s">
        <v>192</v>
      </c>
      <c r="D12" s="149">
        <v>14568854.772</v>
      </c>
      <c r="E12" s="149">
        <f>D12-H12-G12</f>
        <v>14070761.902999999</v>
      </c>
      <c r="F12" s="149"/>
      <c r="G12" s="149">
        <v>174662</v>
      </c>
      <c r="H12" s="149">
        <v>323430.869</v>
      </c>
      <c r="I12" s="149"/>
    </row>
    <row r="13" spans="1:9" s="136" customFormat="1" ht="12" customHeight="1">
      <c r="A13" s="154" t="s">
        <v>195</v>
      </c>
      <c r="B13" s="155"/>
      <c r="C13" s="156" t="s">
        <v>383</v>
      </c>
      <c r="D13" s="149">
        <v>14543967.708</v>
      </c>
      <c r="E13" s="149">
        <f>D13-H13</f>
        <v>14517051.774</v>
      </c>
      <c r="F13" s="149"/>
      <c r="G13" s="149"/>
      <c r="H13" s="149">
        <v>26915.934</v>
      </c>
      <c r="I13" s="149"/>
    </row>
    <row r="14" spans="1:9" s="136" customFormat="1" ht="12" customHeight="1">
      <c r="A14" s="154" t="s">
        <v>197</v>
      </c>
      <c r="B14" s="155"/>
      <c r="C14" s="156" t="s">
        <v>196</v>
      </c>
      <c r="D14" s="149">
        <v>13468985.357</v>
      </c>
      <c r="E14" s="149">
        <f>D14</f>
        <v>13468985.357</v>
      </c>
      <c r="F14" s="149"/>
      <c r="G14" s="149"/>
      <c r="H14" s="149"/>
      <c r="I14" s="149"/>
    </row>
    <row r="15" spans="1:9" s="136" customFormat="1" ht="12" customHeight="1">
      <c r="A15" s="154" t="s">
        <v>199</v>
      </c>
      <c r="B15" s="155"/>
      <c r="C15" s="156" t="s">
        <v>198</v>
      </c>
      <c r="D15" s="149">
        <v>12158485.009</v>
      </c>
      <c r="E15" s="149">
        <f>D15-H15</f>
        <v>12156349.351</v>
      </c>
      <c r="F15" s="149"/>
      <c r="G15" s="149"/>
      <c r="H15" s="149">
        <v>2135.658</v>
      </c>
      <c r="I15" s="149"/>
    </row>
    <row r="16" spans="1:9" s="136" customFormat="1" ht="12" customHeight="1">
      <c r="A16" s="154" t="s">
        <v>200</v>
      </c>
      <c r="B16" s="155"/>
      <c r="C16" s="156" t="s">
        <v>194</v>
      </c>
      <c r="D16" s="149">
        <v>11379958.215</v>
      </c>
      <c r="E16" s="149">
        <f>D16</f>
        <v>11379958.215</v>
      </c>
      <c r="F16" s="149"/>
      <c r="G16" s="149"/>
      <c r="H16" s="149"/>
      <c r="I16" s="149"/>
    </row>
    <row r="17" spans="1:9" s="136" customFormat="1" ht="12" customHeight="1">
      <c r="A17" s="154" t="s">
        <v>201</v>
      </c>
      <c r="B17" s="155"/>
      <c r="C17" s="156" t="s">
        <v>204</v>
      </c>
      <c r="D17" s="149">
        <v>11378547.701</v>
      </c>
      <c r="E17" s="149">
        <f>D17</f>
        <v>11378547.701</v>
      </c>
      <c r="F17" s="149"/>
      <c r="G17" s="149"/>
      <c r="H17" s="149"/>
      <c r="I17" s="149"/>
    </row>
    <row r="18" spans="1:9" s="136" customFormat="1" ht="12" customHeight="1">
      <c r="A18" s="154" t="s">
        <v>203</v>
      </c>
      <c r="B18" s="155"/>
      <c r="C18" s="156" t="s">
        <v>441</v>
      </c>
      <c r="D18" s="149">
        <v>10308089.395</v>
      </c>
      <c r="E18" s="149"/>
      <c r="F18" s="149"/>
      <c r="G18" s="149">
        <f>D18-H18</f>
        <v>10276637.023</v>
      </c>
      <c r="H18" s="149">
        <v>31452.372</v>
      </c>
      <c r="I18" s="149"/>
    </row>
    <row r="19" spans="1:9" s="136" customFormat="1" ht="12" customHeight="1">
      <c r="A19" s="154" t="s">
        <v>205</v>
      </c>
      <c r="B19" s="155"/>
      <c r="C19" s="156" t="s">
        <v>202</v>
      </c>
      <c r="D19" s="149">
        <v>9696067.013</v>
      </c>
      <c r="E19" s="149">
        <f>D19-H19</f>
        <v>9694060.083</v>
      </c>
      <c r="F19" s="149"/>
      <c r="G19" s="149"/>
      <c r="H19" s="149">
        <v>2006.93</v>
      </c>
      <c r="I19" s="149"/>
    </row>
    <row r="20" spans="1:9" s="136" customFormat="1" ht="12" customHeight="1">
      <c r="A20" s="154" t="s">
        <v>206</v>
      </c>
      <c r="B20" s="155"/>
      <c r="C20" s="156" t="s">
        <v>416</v>
      </c>
      <c r="D20" s="149">
        <v>9454707.752</v>
      </c>
      <c r="E20" s="149">
        <f>D20-H20</f>
        <v>9453231.887</v>
      </c>
      <c r="F20" s="149"/>
      <c r="G20" s="149"/>
      <c r="H20" s="149">
        <v>1475.865</v>
      </c>
      <c r="I20" s="149"/>
    </row>
    <row r="21" spans="1:9" s="136" customFormat="1" ht="12" customHeight="1">
      <c r="A21" s="154" t="s">
        <v>207</v>
      </c>
      <c r="B21" s="155"/>
      <c r="C21" s="156" t="s">
        <v>216</v>
      </c>
      <c r="D21" s="149">
        <v>7464141.726</v>
      </c>
      <c r="E21" s="149"/>
      <c r="F21" s="149"/>
      <c r="G21" s="149">
        <f>D21-H21</f>
        <v>128914.75499999989</v>
      </c>
      <c r="H21" s="149">
        <v>7335226.971</v>
      </c>
      <c r="I21" s="149"/>
    </row>
    <row r="22" spans="1:9" s="136" customFormat="1" ht="12" customHeight="1">
      <c r="A22" s="154" t="s">
        <v>208</v>
      </c>
      <c r="B22" s="155"/>
      <c r="C22" s="156" t="s">
        <v>210</v>
      </c>
      <c r="D22" s="149">
        <v>6900107.050999999</v>
      </c>
      <c r="E22" s="149">
        <f>D22-H22</f>
        <v>6899016.771999999</v>
      </c>
      <c r="F22" s="149"/>
      <c r="G22" s="149"/>
      <c r="H22" s="149">
        <v>1090.279</v>
      </c>
      <c r="I22" s="149"/>
    </row>
    <row r="23" spans="1:9" s="136" customFormat="1" ht="12" customHeight="1">
      <c r="A23" s="154" t="s">
        <v>209</v>
      </c>
      <c r="B23" s="155"/>
      <c r="C23" s="156" t="s">
        <v>235</v>
      </c>
      <c r="D23" s="149">
        <v>6617626.916</v>
      </c>
      <c r="E23" s="149"/>
      <c r="F23" s="149"/>
      <c r="G23" s="149">
        <f>D23-H23</f>
        <v>219837.5019999994</v>
      </c>
      <c r="H23" s="149">
        <v>6397789.414000001</v>
      </c>
      <c r="I23" s="149"/>
    </row>
    <row r="24" spans="1:9" s="136" customFormat="1" ht="12" customHeight="1">
      <c r="A24" s="154" t="s">
        <v>211</v>
      </c>
      <c r="B24" s="155"/>
      <c r="C24" s="156" t="s">
        <v>288</v>
      </c>
      <c r="D24" s="149">
        <v>6319783.056</v>
      </c>
      <c r="E24" s="149"/>
      <c r="F24" s="149">
        <f>D24</f>
        <v>6319783.056</v>
      </c>
      <c r="G24" s="149"/>
      <c r="H24" s="149"/>
      <c r="I24" s="149"/>
    </row>
    <row r="25" spans="1:9" s="136" customFormat="1" ht="12" customHeight="1">
      <c r="A25" s="154" t="s">
        <v>212</v>
      </c>
      <c r="B25" s="155"/>
      <c r="C25" s="156" t="s">
        <v>417</v>
      </c>
      <c r="D25" s="149">
        <v>6153905.3100000005</v>
      </c>
      <c r="E25" s="149">
        <f>D25</f>
        <v>6153905.3100000005</v>
      </c>
      <c r="F25" s="149"/>
      <c r="G25" s="149"/>
      <c r="H25" s="149"/>
      <c r="I25" s="149"/>
    </row>
    <row r="26" spans="1:9" s="136" customFormat="1" ht="12" customHeight="1">
      <c r="A26" s="154" t="s">
        <v>213</v>
      </c>
      <c r="B26" s="155"/>
      <c r="C26" s="156" t="s">
        <v>582</v>
      </c>
      <c r="D26" s="149">
        <v>5978913.729</v>
      </c>
      <c r="E26" s="149"/>
      <c r="F26" s="149">
        <f>D26</f>
        <v>5978913.729</v>
      </c>
      <c r="G26" s="149"/>
      <c r="H26" s="149"/>
      <c r="I26" s="149"/>
    </row>
    <row r="27" spans="1:9" s="136" customFormat="1" ht="12" customHeight="1">
      <c r="A27" s="154" t="s">
        <v>214</v>
      </c>
      <c r="B27" s="155"/>
      <c r="C27" s="156" t="s">
        <v>273</v>
      </c>
      <c r="D27" s="149">
        <v>5440357</v>
      </c>
      <c r="E27" s="149"/>
      <c r="F27" s="149"/>
      <c r="G27" s="149">
        <f>D27-H27</f>
        <v>49681</v>
      </c>
      <c r="H27" s="149">
        <v>5390676</v>
      </c>
      <c r="I27" s="149"/>
    </row>
    <row r="28" spans="1:9" s="136" customFormat="1" ht="12" customHeight="1">
      <c r="A28" s="154" t="s">
        <v>215</v>
      </c>
      <c r="B28" s="155"/>
      <c r="C28" s="156" t="s">
        <v>583</v>
      </c>
      <c r="D28" s="149">
        <v>5096100.049</v>
      </c>
      <c r="E28" s="149"/>
      <c r="F28" s="149"/>
      <c r="G28" s="149">
        <f>D28-H28</f>
        <v>590930.4589999998</v>
      </c>
      <c r="H28" s="149">
        <v>4505169.59</v>
      </c>
      <c r="I28" s="149"/>
    </row>
    <row r="29" spans="1:9" s="136" customFormat="1" ht="12" customHeight="1">
      <c r="A29" s="154" t="s">
        <v>218</v>
      </c>
      <c r="B29" s="155"/>
      <c r="C29" s="156" t="s">
        <v>440</v>
      </c>
      <c r="D29" s="149">
        <v>4935652.306</v>
      </c>
      <c r="E29" s="149">
        <f>D29</f>
        <v>4935652.306</v>
      </c>
      <c r="F29" s="149"/>
      <c r="G29" s="149"/>
      <c r="H29" s="149"/>
      <c r="I29" s="149"/>
    </row>
    <row r="30" spans="1:9" s="136" customFormat="1" ht="12" customHeight="1">
      <c r="A30" s="154" t="s">
        <v>219</v>
      </c>
      <c r="B30" s="155"/>
      <c r="C30" s="156" t="s">
        <v>267</v>
      </c>
      <c r="D30" s="149">
        <v>3322550.51</v>
      </c>
      <c r="E30" s="149"/>
      <c r="F30" s="149"/>
      <c r="G30" s="149">
        <f>D30-H30</f>
        <v>9889.645999999717</v>
      </c>
      <c r="H30" s="149">
        <v>3312660.864</v>
      </c>
      <c r="I30" s="149"/>
    </row>
    <row r="31" spans="1:9" s="136" customFormat="1" ht="12" customHeight="1">
      <c r="A31" s="154" t="s">
        <v>220</v>
      </c>
      <c r="B31" s="155"/>
      <c r="C31" s="156" t="s">
        <v>584</v>
      </c>
      <c r="D31" s="149">
        <v>3029798.1110000005</v>
      </c>
      <c r="E31" s="149">
        <f>D31-H31</f>
        <v>3029438.3700000006</v>
      </c>
      <c r="F31" s="149"/>
      <c r="G31" s="149"/>
      <c r="H31" s="149">
        <v>359.741</v>
      </c>
      <c r="I31" s="149"/>
    </row>
    <row r="32" spans="1:9" s="136" customFormat="1" ht="12" customHeight="1">
      <c r="A32" s="154" t="s">
        <v>222</v>
      </c>
      <c r="B32" s="155"/>
      <c r="C32" s="156" t="s">
        <v>585</v>
      </c>
      <c r="D32" s="149">
        <v>3004878.7060000002</v>
      </c>
      <c r="E32" s="149"/>
      <c r="F32" s="149">
        <f>D32</f>
        <v>3004878.7060000002</v>
      </c>
      <c r="G32" s="149"/>
      <c r="H32" s="149"/>
      <c r="I32" s="149"/>
    </row>
    <row r="33" spans="1:9" s="136" customFormat="1" ht="12" customHeight="1">
      <c r="A33" s="154" t="s">
        <v>224</v>
      </c>
      <c r="B33" s="155"/>
      <c r="C33" s="156" t="s">
        <v>232</v>
      </c>
      <c r="D33" s="149">
        <v>2873725.847</v>
      </c>
      <c r="E33" s="149">
        <f>D33-H33</f>
        <v>2847871.139</v>
      </c>
      <c r="F33" s="149"/>
      <c r="G33" s="149"/>
      <c r="H33" s="149">
        <v>25854.708</v>
      </c>
      <c r="I33" s="149"/>
    </row>
    <row r="34" spans="1:9" s="136" customFormat="1" ht="12" customHeight="1">
      <c r="A34" s="154" t="s">
        <v>226</v>
      </c>
      <c r="B34" s="155"/>
      <c r="C34" s="156" t="s">
        <v>221</v>
      </c>
      <c r="D34" s="149">
        <v>2843557.577</v>
      </c>
      <c r="E34" s="149">
        <f>D34-H34</f>
        <v>2822724.088</v>
      </c>
      <c r="F34" s="149"/>
      <c r="G34" s="149"/>
      <c r="H34" s="149">
        <v>20833.489</v>
      </c>
      <c r="I34" s="149"/>
    </row>
    <row r="35" spans="1:9" s="136" customFormat="1" ht="12" customHeight="1">
      <c r="A35" s="154" t="s">
        <v>227</v>
      </c>
      <c r="B35" s="155"/>
      <c r="C35" s="156" t="s">
        <v>586</v>
      </c>
      <c r="D35" s="149">
        <v>2734930.638</v>
      </c>
      <c r="E35" s="149">
        <f>D35</f>
        <v>2734930.638</v>
      </c>
      <c r="F35" s="149"/>
      <c r="G35" s="149"/>
      <c r="H35" s="149"/>
      <c r="I35" s="149"/>
    </row>
    <row r="36" spans="1:9" s="136" customFormat="1" ht="12" customHeight="1">
      <c r="A36" s="154" t="s">
        <v>229</v>
      </c>
      <c r="B36" s="155"/>
      <c r="C36" s="156" t="s">
        <v>587</v>
      </c>
      <c r="D36" s="149">
        <v>2533834.194</v>
      </c>
      <c r="E36" s="149"/>
      <c r="F36" s="149">
        <f>D36</f>
        <v>2533834.194</v>
      </c>
      <c r="G36" s="149"/>
      <c r="H36" s="149"/>
      <c r="I36" s="149"/>
    </row>
    <row r="37" spans="1:9" s="136" customFormat="1" ht="12" customHeight="1">
      <c r="A37" s="154" t="s">
        <v>231</v>
      </c>
      <c r="B37" s="155"/>
      <c r="C37" s="156" t="s">
        <v>240</v>
      </c>
      <c r="D37" s="149">
        <v>1969065.521</v>
      </c>
      <c r="E37" s="149">
        <f>D37</f>
        <v>1969065.521</v>
      </c>
      <c r="F37" s="149"/>
      <c r="G37" s="149"/>
      <c r="H37" s="149"/>
      <c r="I37" s="149"/>
    </row>
    <row r="38" spans="1:9" s="136" customFormat="1" ht="12" customHeight="1">
      <c r="A38" s="154" t="s">
        <v>233</v>
      </c>
      <c r="B38" s="155"/>
      <c r="C38" s="156" t="s">
        <v>237</v>
      </c>
      <c r="D38" s="149">
        <v>1941745.286</v>
      </c>
      <c r="E38" s="149">
        <f>D38</f>
        <v>1941745.286</v>
      </c>
      <c r="F38" s="149"/>
      <c r="G38" s="149"/>
      <c r="H38" s="149"/>
      <c r="I38" s="149"/>
    </row>
    <row r="39" spans="1:9" s="136" customFormat="1" ht="12" customHeight="1">
      <c r="A39" s="154" t="s">
        <v>234</v>
      </c>
      <c r="B39" s="155"/>
      <c r="C39" s="156" t="s">
        <v>243</v>
      </c>
      <c r="D39" s="149">
        <v>1645907.111</v>
      </c>
      <c r="E39" s="149">
        <f>D39</f>
        <v>1645907.111</v>
      </c>
      <c r="F39" s="149"/>
      <c r="G39" s="149"/>
      <c r="H39" s="149"/>
      <c r="I39" s="149"/>
    </row>
    <row r="40" spans="1:9" s="136" customFormat="1" ht="12" customHeight="1">
      <c r="A40" s="154" t="s">
        <v>236</v>
      </c>
      <c r="B40" s="155"/>
      <c r="C40" s="156" t="s">
        <v>248</v>
      </c>
      <c r="D40" s="149">
        <v>1536425.976</v>
      </c>
      <c r="E40" s="149">
        <f>D40</f>
        <v>1536425.976</v>
      </c>
      <c r="F40" s="149"/>
      <c r="G40" s="149"/>
      <c r="H40" s="149"/>
      <c r="I40" s="149"/>
    </row>
    <row r="41" spans="1:9" s="136" customFormat="1" ht="12" customHeight="1">
      <c r="A41" s="154" t="s">
        <v>238</v>
      </c>
      <c r="B41" s="155"/>
      <c r="C41" s="156" t="s">
        <v>588</v>
      </c>
      <c r="D41" s="149">
        <v>1508002.205</v>
      </c>
      <c r="E41" s="149">
        <f>D41</f>
        <v>1508002.205</v>
      </c>
      <c r="F41" s="149"/>
      <c r="G41" s="149"/>
      <c r="H41" s="149"/>
      <c r="I41" s="149"/>
    </row>
    <row r="42" spans="1:9" s="136" customFormat="1" ht="12" customHeight="1">
      <c r="A42" s="154" t="s">
        <v>239</v>
      </c>
      <c r="B42" s="155"/>
      <c r="C42" s="156" t="s">
        <v>589</v>
      </c>
      <c r="D42" s="149">
        <v>1254878.1639999999</v>
      </c>
      <c r="E42" s="149"/>
      <c r="F42" s="149">
        <f>D42</f>
        <v>1254878.1639999999</v>
      </c>
      <c r="G42" s="149"/>
      <c r="H42" s="149"/>
      <c r="I42" s="149"/>
    </row>
    <row r="43" spans="1:9" s="136" customFormat="1" ht="12" customHeight="1">
      <c r="A43" s="157" t="s">
        <v>241</v>
      </c>
      <c r="B43" s="158"/>
      <c r="C43" s="159" t="s">
        <v>447</v>
      </c>
      <c r="D43" s="149">
        <v>1158585.3490000002</v>
      </c>
      <c r="E43" s="149">
        <f>D43</f>
        <v>1158585.3490000002</v>
      </c>
      <c r="F43" s="149"/>
      <c r="G43" s="149"/>
      <c r="H43" s="149"/>
      <c r="I43" s="149"/>
    </row>
    <row r="44" spans="1:9" s="136" customFormat="1" ht="12" customHeight="1">
      <c r="A44" s="157" t="s">
        <v>242</v>
      </c>
      <c r="B44" s="158"/>
      <c r="C44" s="159" t="s">
        <v>590</v>
      </c>
      <c r="D44" s="149">
        <v>1144350.632</v>
      </c>
      <c r="E44" s="149">
        <v>61765</v>
      </c>
      <c r="F44" s="149">
        <v>1082586</v>
      </c>
      <c r="G44" s="149"/>
      <c r="H44" s="149"/>
      <c r="I44" s="149"/>
    </row>
    <row r="45" spans="1:9" s="136" customFormat="1" ht="12" customHeight="1">
      <c r="A45" s="157" t="s">
        <v>244</v>
      </c>
      <c r="B45" s="158"/>
      <c r="C45" s="159" t="s">
        <v>591</v>
      </c>
      <c r="D45" s="149">
        <v>1071768.286</v>
      </c>
      <c r="E45" s="149"/>
      <c r="F45" s="149"/>
      <c r="G45" s="149">
        <f>D45-H45</f>
        <v>1263.28600000008</v>
      </c>
      <c r="H45" s="149">
        <v>1070505</v>
      </c>
      <c r="I45" s="149"/>
    </row>
    <row r="46" spans="1:9" s="136" customFormat="1" ht="12" customHeight="1">
      <c r="A46" s="157" t="s">
        <v>247</v>
      </c>
      <c r="B46" s="158"/>
      <c r="C46" s="159" t="s">
        <v>384</v>
      </c>
      <c r="D46" s="149">
        <v>1033815.554</v>
      </c>
      <c r="E46" s="149"/>
      <c r="F46" s="149"/>
      <c r="G46" s="149"/>
      <c r="H46" s="149">
        <v>1033815.554</v>
      </c>
      <c r="I46" s="149"/>
    </row>
    <row r="47" spans="1:9" s="136" customFormat="1" ht="12" customHeight="1">
      <c r="A47" s="157" t="s">
        <v>249</v>
      </c>
      <c r="B47" s="158"/>
      <c r="C47" s="159" t="s">
        <v>254</v>
      </c>
      <c r="D47" s="149">
        <v>986069.7</v>
      </c>
      <c r="E47" s="149"/>
      <c r="F47" s="149">
        <f>D47</f>
        <v>986069.7</v>
      </c>
      <c r="G47" s="149"/>
      <c r="H47" s="149"/>
      <c r="I47" s="149"/>
    </row>
    <row r="48" spans="1:9" s="136" customFormat="1" ht="12" customHeight="1">
      <c r="A48" s="157" t="s">
        <v>250</v>
      </c>
      <c r="B48" s="158"/>
      <c r="C48" s="159" t="s">
        <v>259</v>
      </c>
      <c r="D48" s="149">
        <v>960044.386</v>
      </c>
      <c r="E48" s="149">
        <f>D48</f>
        <v>960044.386</v>
      </c>
      <c r="F48" s="149"/>
      <c r="G48" s="149"/>
      <c r="H48" s="149"/>
      <c r="I48" s="149"/>
    </row>
    <row r="49" spans="1:9" s="136" customFormat="1" ht="12" customHeight="1">
      <c r="A49" s="157" t="s">
        <v>252</v>
      </c>
      <c r="B49" s="158"/>
      <c r="C49" s="159" t="s">
        <v>263</v>
      </c>
      <c r="D49" s="149">
        <v>712937.021</v>
      </c>
      <c r="E49" s="149"/>
      <c r="F49" s="149">
        <f>D49</f>
        <v>712937.021</v>
      </c>
      <c r="G49" s="149"/>
      <c r="H49" s="149"/>
      <c r="I49" s="149"/>
    </row>
    <row r="50" spans="1:9" s="136" customFormat="1" ht="12" customHeight="1">
      <c r="A50" s="157" t="s">
        <v>253</v>
      </c>
      <c r="B50" s="158"/>
      <c r="C50" s="159" t="s">
        <v>261</v>
      </c>
      <c r="D50" s="149">
        <v>663861.958</v>
      </c>
      <c r="E50" s="149">
        <f>D50</f>
        <v>663861.958</v>
      </c>
      <c r="F50" s="149"/>
      <c r="G50" s="149"/>
      <c r="H50" s="149"/>
      <c r="I50" s="149"/>
    </row>
    <row r="51" spans="1:9" s="136" customFormat="1" ht="12" customHeight="1">
      <c r="A51" s="157" t="s">
        <v>255</v>
      </c>
      <c r="B51" s="158"/>
      <c r="C51" s="159" t="s">
        <v>592</v>
      </c>
      <c r="D51" s="149">
        <v>575842.6259999999</v>
      </c>
      <c r="E51" s="149"/>
      <c r="F51" s="149">
        <v>484152</v>
      </c>
      <c r="G51" s="149">
        <v>84674</v>
      </c>
      <c r="H51" s="149">
        <v>7016.768</v>
      </c>
      <c r="I51" s="149"/>
    </row>
    <row r="52" spans="1:9" s="136" customFormat="1" ht="12" customHeight="1">
      <c r="A52" s="157" t="s">
        <v>256</v>
      </c>
      <c r="B52" s="158"/>
      <c r="C52" s="159" t="s">
        <v>594</v>
      </c>
      <c r="D52" s="149">
        <v>573198.334</v>
      </c>
      <c r="E52" s="149">
        <f>D52</f>
        <v>573198.334</v>
      </c>
      <c r="F52" s="149"/>
      <c r="G52" s="149"/>
      <c r="H52" s="149"/>
      <c r="I52" s="149"/>
    </row>
    <row r="53" spans="1:9" s="136" customFormat="1" ht="12" customHeight="1">
      <c r="A53" s="157" t="s">
        <v>258</v>
      </c>
      <c r="B53" s="158"/>
      <c r="C53" s="159" t="s">
        <v>593</v>
      </c>
      <c r="D53" s="149">
        <v>460896.326</v>
      </c>
      <c r="E53" s="149">
        <f>D53</f>
        <v>460896.326</v>
      </c>
      <c r="F53" s="149"/>
      <c r="G53" s="149"/>
      <c r="H53" s="149"/>
      <c r="I53" s="149"/>
    </row>
    <row r="54" spans="1:9" s="136" customFormat="1" ht="12" customHeight="1">
      <c r="A54" s="157" t="s">
        <v>260</v>
      </c>
      <c r="B54" s="158"/>
      <c r="C54" s="159" t="s">
        <v>414</v>
      </c>
      <c r="D54" s="149">
        <v>448140.628</v>
      </c>
      <c r="E54" s="149"/>
      <c r="F54" s="149">
        <f>D54</f>
        <v>448140.628</v>
      </c>
      <c r="G54" s="149"/>
      <c r="H54" s="149"/>
      <c r="I54" s="149"/>
    </row>
    <row r="55" spans="1:9" s="136" customFormat="1" ht="12" customHeight="1">
      <c r="A55" s="157" t="s">
        <v>262</v>
      </c>
      <c r="B55" s="158"/>
      <c r="C55" s="159" t="s">
        <v>271</v>
      </c>
      <c r="D55" s="149">
        <v>404826.634</v>
      </c>
      <c r="E55" s="149">
        <f>D55</f>
        <v>404826.634</v>
      </c>
      <c r="F55" s="149"/>
      <c r="G55" s="149"/>
      <c r="H55" s="149"/>
      <c r="I55" s="149"/>
    </row>
    <row r="56" spans="1:9" s="136" customFormat="1" ht="12" customHeight="1">
      <c r="A56" s="157" t="s">
        <v>264</v>
      </c>
      <c r="B56" s="158"/>
      <c r="C56" s="159" t="s">
        <v>595</v>
      </c>
      <c r="D56" s="149">
        <v>271325.78</v>
      </c>
      <c r="E56" s="149"/>
      <c r="F56" s="149">
        <f>D56</f>
        <v>271325.78</v>
      </c>
      <c r="G56" s="149"/>
      <c r="H56" s="149"/>
      <c r="I56" s="149"/>
    </row>
    <row r="57" spans="1:9" s="136" customFormat="1" ht="12" customHeight="1">
      <c r="A57" s="157" t="s">
        <v>266</v>
      </c>
      <c r="B57" s="158"/>
      <c r="C57" s="159" t="s">
        <v>275</v>
      </c>
      <c r="D57" s="149">
        <v>165042.606</v>
      </c>
      <c r="E57" s="149">
        <f>D57</f>
        <v>165042.606</v>
      </c>
      <c r="F57" s="149"/>
      <c r="G57" s="149"/>
      <c r="H57" s="149"/>
      <c r="I57" s="149"/>
    </row>
    <row r="58" spans="1:9" s="136" customFormat="1" ht="12" customHeight="1">
      <c r="A58" s="157" t="s">
        <v>268</v>
      </c>
      <c r="B58" s="158"/>
      <c r="C58" s="159" t="s">
        <v>277</v>
      </c>
      <c r="D58" s="149">
        <v>163389.986</v>
      </c>
      <c r="E58" s="149"/>
      <c r="F58" s="149">
        <f>D58</f>
        <v>163389.986</v>
      </c>
      <c r="G58" s="149"/>
      <c r="H58" s="149"/>
      <c r="I58" s="149"/>
    </row>
    <row r="59" spans="1:9" s="136" customFormat="1" ht="12" customHeight="1">
      <c r="A59" s="157" t="s">
        <v>269</v>
      </c>
      <c r="B59" s="158"/>
      <c r="C59" s="159" t="s">
        <v>596</v>
      </c>
      <c r="D59" s="149">
        <v>134524.91599999997</v>
      </c>
      <c r="E59" s="149"/>
      <c r="F59" s="149">
        <f>D59</f>
        <v>134524.91599999997</v>
      </c>
      <c r="G59" s="149"/>
      <c r="H59" s="149"/>
      <c r="I59" s="149"/>
    </row>
    <row r="60" spans="1:9" s="136" customFormat="1" ht="12" customHeight="1">
      <c r="A60" s="157" t="s">
        <v>270</v>
      </c>
      <c r="B60" s="158"/>
      <c r="C60" s="159" t="s">
        <v>278</v>
      </c>
      <c r="D60" s="160">
        <v>106532.07900000001</v>
      </c>
      <c r="E60" s="160">
        <f>D60-H60</f>
        <v>15492.025000000009</v>
      </c>
      <c r="F60" s="160"/>
      <c r="G60" s="160"/>
      <c r="H60" s="160">
        <v>91040.054</v>
      </c>
      <c r="I60" s="149"/>
    </row>
    <row r="61" spans="1:9" s="136" customFormat="1" ht="12" customHeight="1">
      <c r="A61" s="157" t="s">
        <v>272</v>
      </c>
      <c r="B61" s="158"/>
      <c r="C61" s="159" t="s">
        <v>597</v>
      </c>
      <c r="D61" s="149">
        <v>88750.40299999999</v>
      </c>
      <c r="E61" s="149"/>
      <c r="F61" s="149">
        <f>D61</f>
        <v>88750.40299999999</v>
      </c>
      <c r="G61" s="149"/>
      <c r="H61" s="149"/>
      <c r="I61" s="149"/>
    </row>
    <row r="62" spans="1:9" s="136" customFormat="1" ht="12" customHeight="1">
      <c r="A62" s="157" t="s">
        <v>578</v>
      </c>
      <c r="B62" s="158"/>
      <c r="C62" s="159" t="s">
        <v>598</v>
      </c>
      <c r="D62" s="149">
        <v>34159.593</v>
      </c>
      <c r="E62" s="149">
        <f>D62</f>
        <v>34159.593</v>
      </c>
      <c r="F62" s="149"/>
      <c r="G62" s="149"/>
      <c r="H62" s="149">
        <v>0</v>
      </c>
      <c r="I62" s="149"/>
    </row>
    <row r="63" spans="1:9" s="136" customFormat="1" ht="12" customHeight="1">
      <c r="A63" s="157" t="s">
        <v>579</v>
      </c>
      <c r="B63" s="158"/>
      <c r="C63" s="159" t="s">
        <v>599</v>
      </c>
      <c r="D63" s="161">
        <v>10213.533000000001</v>
      </c>
      <c r="E63" s="161"/>
      <c r="F63" s="161">
        <f>D63</f>
        <v>10213.533000000001</v>
      </c>
      <c r="G63" s="161"/>
      <c r="H63" s="161"/>
      <c r="I63" s="149"/>
    </row>
    <row r="64" spans="1:9" ht="15" customHeight="1" thickBot="1">
      <c r="A64" s="8"/>
      <c r="B64" s="6"/>
      <c r="C64" s="11" t="s">
        <v>604</v>
      </c>
      <c r="D64" s="163">
        <f>SUM(D4:D63)</f>
        <v>517599010.8309999</v>
      </c>
      <c r="E64" s="163">
        <f>SUM(E4:E63)</f>
        <v>384751208.37899995</v>
      </c>
      <c r="F64" s="163">
        <f>SUM(F4:F63)</f>
        <v>91299946.81600001</v>
      </c>
      <c r="G64" s="163">
        <f>SUM(G4:G63)</f>
        <v>11536489.671</v>
      </c>
      <c r="H64" s="163">
        <f>SUM(H4:H63)</f>
        <v>30011367.226000004</v>
      </c>
      <c r="I64" s="41"/>
    </row>
    <row r="65" spans="1:9" ht="4.5" customHeight="1" thickTop="1">
      <c r="A65" s="8"/>
      <c r="B65" s="6"/>
      <c r="C65" s="11"/>
      <c r="D65" s="41"/>
      <c r="E65" s="41"/>
      <c r="F65" s="41"/>
      <c r="G65" s="41"/>
      <c r="H65" s="41"/>
      <c r="I65" s="41"/>
    </row>
    <row r="66" ht="12.75">
      <c r="A66" s="162" t="s">
        <v>609</v>
      </c>
    </row>
    <row r="67" ht="12.75">
      <c r="A67" s="162" t="s">
        <v>608</v>
      </c>
    </row>
  </sheetData>
  <sheetProtection/>
  <printOptions/>
  <pageMargins left="0.65" right="0.57" top="0.79" bottom="0.45" header="0.46" footer="0.35"/>
  <pageSetup horizontalDpi="600" verticalDpi="600" orientation="portrait" paperSize="9" r:id="rId1"/>
  <headerFooter alignWithMargins="0">
    <oddHeader>&amp;C&amp;"Times New Roman,Bold"&amp;14 3.7. Yfirlit yfir lífeyriskerfi lífeyrissjóða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Ásta Þórarinsdóttir</dc:creator>
  <cp:keywords/>
  <dc:description/>
  <cp:lastModifiedBy>Arnar Jón Sigurgeirsson</cp:lastModifiedBy>
  <cp:lastPrinted>2000-10-19T13:57:23Z</cp:lastPrinted>
  <dcterms:created xsi:type="dcterms:W3CDTF">1998-02-16T11:29:36Z</dcterms:created>
  <dcterms:modified xsi:type="dcterms:W3CDTF">2012-03-16T14:34:24Z</dcterms:modified>
  <cp:category/>
  <cp:version/>
  <cp:contentType/>
  <cp:contentStatus/>
</cp:coreProperties>
</file>