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35" windowHeight="5730" tabRatio="602" activeTab="5"/>
  </bookViews>
  <sheets>
    <sheet name="3.1. Efnah." sheetId="1" r:id="rId1"/>
    <sheet name="3.2. Yfirlit" sheetId="2" r:id="rId2"/>
    <sheet name="3.3. Sjóðstr." sheetId="3" r:id="rId3"/>
    <sheet name="3.4. Kennit." sheetId="4" r:id="rId4"/>
    <sheet name="3.5. Aðrar fjárfest" sheetId="5" r:id="rId5"/>
    <sheet name="BLS81" sheetId="6" r:id="rId6"/>
    <sheet name="TRFRUT_A" sheetId="7" r:id="rId7"/>
    <sheet name="TRFRUT_B" sheetId="8" r:id="rId8"/>
  </sheets>
  <definedNames>
    <definedName name="_xlnm.Print_Area" localSheetId="0">'3.1. Efnah.'!$A$1:$BZ$61</definedName>
    <definedName name="_xlnm.Print_Area" localSheetId="1">'3.2. Yfirlit'!$A$1:$BZ$63</definedName>
    <definedName name="_xlnm.Print_Area" localSheetId="2">'3.3. Sjóðstr.'!$A$11:$BZ$57</definedName>
    <definedName name="_xlnm.Print_Area" localSheetId="3">'3.4. Kennit.'!$A$5:$CA$55</definedName>
    <definedName name="_xlnm.Print_Area" localSheetId="4">'3.5. Aðrar fjárfest'!$A$2:$BZ$64</definedName>
    <definedName name="_xlnm.Print_Area" localSheetId="5">'BLS81'!$A$1:$L$124</definedName>
    <definedName name="_xlnm.Print_Area" localSheetId="6">'TRFRUT_A'!$A$1:$V$72</definedName>
    <definedName name="_xlnm.Print_Area" localSheetId="7">'TRFRUT_B'!$A$1:$V$67</definedName>
    <definedName name="_xlnm.Print_Titles" localSheetId="0">'3.1. Efnah.'!$A:$A</definedName>
    <definedName name="_xlnm.Print_Titles" localSheetId="1">'3.2. Yfirlit'!$A:$A</definedName>
    <definedName name="_xlnm.Print_Titles" localSheetId="2">'3.3. Sjóðstr.'!$A:$A,'3.3. Sjóðstr.'!$5:$5</definedName>
    <definedName name="_xlnm.Print_Titles" localSheetId="3">'3.4. Kennit.'!$A:$B</definedName>
    <definedName name="_xlnm.Print_Titles" localSheetId="4">'3.5. Aðrar fjárfest'!$A:$A</definedName>
  </definedNames>
  <calcPr fullCalcOnLoad="1"/>
</workbook>
</file>

<file path=xl/sharedStrings.xml><?xml version="1.0" encoding="utf-8"?>
<sst xmlns="http://schemas.openxmlformats.org/spreadsheetml/2006/main" count="2692" uniqueCount="694">
  <si>
    <t>Lífeyrissj.</t>
  </si>
  <si>
    <t>Sameinaði</t>
  </si>
  <si>
    <t>Söfnunarsj.</t>
  </si>
  <si>
    <t>Samvinnu-</t>
  </si>
  <si>
    <t>Eftirlaunasj.</t>
  </si>
  <si>
    <t xml:space="preserve">Frjálsi </t>
  </si>
  <si>
    <t>Eftirlsj. stm.</t>
  </si>
  <si>
    <t>Lífeyris-</t>
  </si>
  <si>
    <t>Almennur</t>
  </si>
  <si>
    <t xml:space="preserve">Íslenski </t>
  </si>
  <si>
    <t>Trygginga-</t>
  </si>
  <si>
    <t xml:space="preserve">ALLIR   </t>
  </si>
  <si>
    <t xml:space="preserve">ALLIR    </t>
  </si>
  <si>
    <t>Fjárhæðir í þús. kr.</t>
  </si>
  <si>
    <t>verslunar-</t>
  </si>
  <si>
    <t>sjómanna</t>
  </si>
  <si>
    <t>starfsm.</t>
  </si>
  <si>
    <t>lífeyris-</t>
  </si>
  <si>
    <t>Framsýn</t>
  </si>
  <si>
    <t>Norður-</t>
  </si>
  <si>
    <t xml:space="preserve">bænda </t>
  </si>
  <si>
    <t>Austur-</t>
  </si>
  <si>
    <t xml:space="preserve">Vest- </t>
  </si>
  <si>
    <t>Landsb. &amp;</t>
  </si>
  <si>
    <t>Suður-</t>
  </si>
  <si>
    <t xml:space="preserve">lækna </t>
  </si>
  <si>
    <t>Vestmanna-</t>
  </si>
  <si>
    <t>Verkfrfél.</t>
  </si>
  <si>
    <t>Vestur-</t>
  </si>
  <si>
    <t>hjúkrunar-</t>
  </si>
  <si>
    <t>verkalfél.</t>
  </si>
  <si>
    <t>Tæknifrf.</t>
  </si>
  <si>
    <t xml:space="preserve">K.E.A. </t>
  </si>
  <si>
    <t>Búnaðar-</t>
  </si>
  <si>
    <t>Eimskipa-</t>
  </si>
  <si>
    <t>sjóðurinn</t>
  </si>
  <si>
    <t>lífeyrissj.</t>
  </si>
  <si>
    <t>Flugvirkjaf.</t>
  </si>
  <si>
    <t>Bolungar-</t>
  </si>
  <si>
    <t>Rangæinga</t>
  </si>
  <si>
    <t>slökkvilm. á</t>
  </si>
  <si>
    <t>blaða-</t>
  </si>
  <si>
    <t>Mjólkur-</t>
  </si>
  <si>
    <t>stm. Kópa-</t>
  </si>
  <si>
    <t>Hafnarfj-</t>
  </si>
  <si>
    <t>stm. Akur-</t>
  </si>
  <si>
    <t>ísl. stjstm. á</t>
  </si>
  <si>
    <t>Tannl.fél.</t>
  </si>
  <si>
    <t>verkafólks í</t>
  </si>
  <si>
    <t>Sláturfélags</t>
  </si>
  <si>
    <t>Akranes-</t>
  </si>
  <si>
    <t>stm. Olíu-</t>
  </si>
  <si>
    <t>Félags ísl.</t>
  </si>
  <si>
    <t>stm. Húsa-</t>
  </si>
  <si>
    <t>leigubifr.-</t>
  </si>
  <si>
    <t xml:space="preserve">starfsm. </t>
  </si>
  <si>
    <t>Neskaup-</t>
  </si>
  <si>
    <t>Iðnaðarmf.</t>
  </si>
  <si>
    <t>sjóður</t>
  </si>
  <si>
    <t>stm. Vestm-</t>
  </si>
  <si>
    <t>stm. Sjóvá-</t>
  </si>
  <si>
    <t>stm. Rvík.-</t>
  </si>
  <si>
    <t>alþingis-</t>
  </si>
  <si>
    <t>ráðherra</t>
  </si>
  <si>
    <t>LÍFEYRISSJ.</t>
  </si>
  <si>
    <t xml:space="preserve">sjóðir  </t>
  </si>
  <si>
    <t>Séreigna-</t>
  </si>
  <si>
    <t xml:space="preserve">manna  </t>
  </si>
  <si>
    <t>réttinda</t>
  </si>
  <si>
    <t xml:space="preserve">lands </t>
  </si>
  <si>
    <t>firðinga</t>
  </si>
  <si>
    <t>Seðlabanka</t>
  </si>
  <si>
    <t xml:space="preserve">nesja </t>
  </si>
  <si>
    <t xml:space="preserve">Íslands </t>
  </si>
  <si>
    <t>á Suðurl.</t>
  </si>
  <si>
    <t>Norðurl. v</t>
  </si>
  <si>
    <t>Reykjavb.</t>
  </si>
  <si>
    <t>banka</t>
  </si>
  <si>
    <t>félags Ísl.</t>
  </si>
  <si>
    <t>Íslandsb. hf.</t>
  </si>
  <si>
    <t>Hlíf</t>
  </si>
  <si>
    <t xml:space="preserve">VÍB   </t>
  </si>
  <si>
    <t>Íslands</t>
  </si>
  <si>
    <t>víkur</t>
  </si>
  <si>
    <t>Keflavflugv.</t>
  </si>
  <si>
    <t>manna</t>
  </si>
  <si>
    <t>samsöl.</t>
  </si>
  <si>
    <t>vogskaupst.</t>
  </si>
  <si>
    <t>kaupst.</t>
  </si>
  <si>
    <t>eyrarbæjar</t>
  </si>
  <si>
    <t>Grindavík</t>
  </si>
  <si>
    <t>Suðurlands</t>
  </si>
  <si>
    <t>versl. Ísl.</t>
  </si>
  <si>
    <t xml:space="preserve">sjóðurinn </t>
  </si>
  <si>
    <t>Áburðarv.</t>
  </si>
  <si>
    <t>Skjöldur</t>
  </si>
  <si>
    <t xml:space="preserve">leikara </t>
  </si>
  <si>
    <t xml:space="preserve">bæjar  </t>
  </si>
  <si>
    <t>Eining</t>
  </si>
  <si>
    <t>víkurbæjar</t>
  </si>
  <si>
    <t xml:space="preserve">stjóra  </t>
  </si>
  <si>
    <t>Útvegsb. Ísl.</t>
  </si>
  <si>
    <t xml:space="preserve">staðar </t>
  </si>
  <si>
    <t>Suðurnesja</t>
  </si>
  <si>
    <t>lækna</t>
  </si>
  <si>
    <t>eyjabæjar</t>
  </si>
  <si>
    <t>tryggfél.Ísl.</t>
  </si>
  <si>
    <t xml:space="preserve">apóteks </t>
  </si>
  <si>
    <t xml:space="preserve">SAMTALS  </t>
  </si>
  <si>
    <t xml:space="preserve">SAMTALS </t>
  </si>
  <si>
    <t xml:space="preserve">      (1)</t>
  </si>
  <si>
    <t>(2)</t>
  </si>
  <si>
    <t>(3)</t>
  </si>
  <si>
    <t>(4)</t>
  </si>
  <si>
    <t>(5)</t>
  </si>
  <si>
    <t>(6)</t>
  </si>
  <si>
    <t>(7)</t>
  </si>
  <si>
    <t>(8)</t>
  </si>
  <si>
    <t xml:space="preserve">     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</si>
  <si>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</si>
  <si>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</si>
  <si>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</si>
  <si>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</si>
  <si>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</si>
  <si>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</si>
  <si>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</si>
  <si>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</si>
  <si>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</si>
  <si>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</si>
  <si>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</si>
  <si>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</si>
  <si>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</si>
  <si>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</si>
  <si>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</si>
  <si>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</si>
  <si>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</si>
  <si>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</si>
  <si>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</si>
  <si>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</si>
  <si>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</si>
  <si>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</si>
  <si>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</si>
  <si>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</si>
  <si>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</si>
  <si>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</si>
  <si>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</si>
  <si>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</si>
  <si>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</si>
  <si>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</si>
  <si>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</si>
  <si>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</si>
  <si>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</si>
  <si>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</si>
  <si>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</si>
  <si>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</si>
  <si>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</si>
  <si>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</si>
  <si>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</si>
  <si>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</si>
  <si>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</si>
  <si>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(54)</t>
  </si>
  <si>
    <t>(55)</t>
  </si>
  <si>
    <t>(56)</t>
  </si>
  <si>
    <t>(57)</t>
  </si>
  <si>
    <t>(58)</t>
  </si>
  <si>
    <t>(60)</t>
  </si>
  <si>
    <t>(61)</t>
  </si>
  <si>
    <t>(62)</t>
  </si>
  <si>
    <t>(63)</t>
  </si>
  <si>
    <t>(64)</t>
  </si>
  <si>
    <t>(65)</t>
  </si>
  <si>
    <t>(66)</t>
  </si>
  <si>
    <t>(19 sjóðir)</t>
  </si>
  <si>
    <t xml:space="preserve">HREIN EIGN TIL </t>
  </si>
  <si>
    <t>GREIÐSLU LÍFEYRIS</t>
  </si>
  <si>
    <t xml:space="preserve"> </t>
  </si>
  <si>
    <t>Skýr.</t>
  </si>
  <si>
    <t xml:space="preserve">Lífeyrisbyrði </t>
  </si>
  <si>
    <t>Kostnaður í % af iðgj.</t>
  </si>
  <si>
    <t xml:space="preserve">Kostnaður í % af eignum </t>
  </si>
  <si>
    <t>Hrein raunávöxtun</t>
  </si>
  <si>
    <t>Fjöldi sjóðfélaga</t>
  </si>
  <si>
    <t>Fjöldi lífeyrisþega</t>
  </si>
  <si>
    <t xml:space="preserve">Stöðugildi á árinu </t>
  </si>
  <si>
    <t>Ellilífeyrir  (%)</t>
  </si>
  <si>
    <t>Örorkulífeyrir  (%)</t>
  </si>
  <si>
    <t>Makalífeyrir  (%)</t>
  </si>
  <si>
    <t>Barnalífeyrir  (%)</t>
  </si>
  <si>
    <t xml:space="preserve">         Samtals:</t>
  </si>
  <si>
    <t>Ýmsar athugasemdir:</t>
  </si>
  <si>
    <t>Tekur</t>
  </si>
  <si>
    <t>ekki við</t>
  </si>
  <si>
    <t>iðgjöldum</t>
  </si>
  <si>
    <t>Raunávöxt.</t>
  </si>
  <si>
    <t>ómarktæk</t>
  </si>
  <si>
    <t>sbr. skýr. í</t>
  </si>
  <si>
    <t>inng. 3. kafla</t>
  </si>
  <si>
    <t>Skýringar á kennitölum:</t>
  </si>
  <si>
    <t>Lífeyrir í þús.kr.</t>
  </si>
  <si>
    <t>Ellilífeyrir í þús.kr.</t>
  </si>
  <si>
    <t>Örorkulífeyrir í þús.kr.</t>
  </si>
  <si>
    <t>Makalífeyrir í þús.kr.</t>
  </si>
  <si>
    <t>Barnalífeyrir í þús.kr.</t>
  </si>
  <si>
    <t xml:space="preserve">       Samtals</t>
  </si>
  <si>
    <t xml:space="preserve">   Bankar og sparisjóðir</t>
  </si>
  <si>
    <t xml:space="preserve">   Fjárfestingarlánasjóðir</t>
  </si>
  <si>
    <t xml:space="preserve">       þ.a. húsbréf</t>
  </si>
  <si>
    <t xml:space="preserve">       þ.a. húsnæðisbréf</t>
  </si>
  <si>
    <t xml:space="preserve">   Eignarleigur</t>
  </si>
  <si>
    <t xml:space="preserve">   Fyrirtæki</t>
  </si>
  <si>
    <t xml:space="preserve">   Bæjar- og sveitarfélög</t>
  </si>
  <si>
    <t xml:space="preserve">       þ.a. Húsnæðisstofnun</t>
  </si>
  <si>
    <t xml:space="preserve">   Aðrar lánastofnanir</t>
  </si>
  <si>
    <t>Fjármunatekjur nettó fyrir</t>
  </si>
  <si>
    <t>verðbreyt.færslu</t>
  </si>
  <si>
    <t>Meðalstaða eigna við útreikn.</t>
  </si>
  <si>
    <t xml:space="preserve"> á ávöxtun</t>
  </si>
  <si>
    <t>verðbreyt.færslu-kostnaður</t>
  </si>
  <si>
    <t>Meðalstaða eigna v/útr.ávx.</t>
  </si>
  <si>
    <t>Raunávöxtun - kostnaður</t>
  </si>
  <si>
    <t>Höfuðstóll</t>
  </si>
  <si>
    <t>Aukning</t>
  </si>
  <si>
    <t xml:space="preserve"> 31.12.1996</t>
  </si>
  <si>
    <t>þús.kr.</t>
  </si>
  <si>
    <t>%</t>
  </si>
  <si>
    <t>1.</t>
  </si>
  <si>
    <t>Lífeyrissjóður verslunarmanna</t>
  </si>
  <si>
    <t>2.</t>
  </si>
  <si>
    <t>Lífeyrissjóður sjómanna</t>
  </si>
  <si>
    <t>3.</t>
  </si>
  <si>
    <t>1)</t>
  </si>
  <si>
    <t>4.</t>
  </si>
  <si>
    <t>Sameinaði lífeyrissjóðurinn</t>
  </si>
  <si>
    <t>5.</t>
  </si>
  <si>
    <t>2)</t>
  </si>
  <si>
    <t>6.</t>
  </si>
  <si>
    <t>Söfnunarsjóður lífeyrisréttinda</t>
  </si>
  <si>
    <t>7.</t>
  </si>
  <si>
    <t>Lífeyrissjóður Norðurlands</t>
  </si>
  <si>
    <t>8.</t>
  </si>
  <si>
    <t>Samvinnulífeyrissjóðurinn</t>
  </si>
  <si>
    <t>9.</t>
  </si>
  <si>
    <t>Lífeyrissjóður bænda</t>
  </si>
  <si>
    <t>10.</t>
  </si>
  <si>
    <t>Lífeyrissjóður Austurlands</t>
  </si>
  <si>
    <t>11.</t>
  </si>
  <si>
    <t>Lífeyrissjóður Vestfirðinga</t>
  </si>
  <si>
    <t>12.</t>
  </si>
  <si>
    <t>13.</t>
  </si>
  <si>
    <t>14.</t>
  </si>
  <si>
    <t>Lífeyrissjóður Suðurnesja</t>
  </si>
  <si>
    <t>15.</t>
  </si>
  <si>
    <t>Lífeyrissjóður lækna</t>
  </si>
  <si>
    <t>16.</t>
  </si>
  <si>
    <t>17.</t>
  </si>
  <si>
    <t>18.</t>
  </si>
  <si>
    <t>Lífeyrissjóður Verkfræðingafélags Íslands</t>
  </si>
  <si>
    <t>19.</t>
  </si>
  <si>
    <t>20.</t>
  </si>
  <si>
    <t>Lífeyrissjóður Vesturlands</t>
  </si>
  <si>
    <t>21.</t>
  </si>
  <si>
    <t>22.</t>
  </si>
  <si>
    <t>23.</t>
  </si>
  <si>
    <t>24.</t>
  </si>
  <si>
    <t>25.</t>
  </si>
  <si>
    <t>Frjálsi lífeyrissjóðurinn</t>
  </si>
  <si>
    <t>3)</t>
  </si>
  <si>
    <t>26.</t>
  </si>
  <si>
    <t>Lífeyrissjóður verkalýðsfélaga á Suðurlandi</t>
  </si>
  <si>
    <t>27.</t>
  </si>
  <si>
    <t>Lífeyrissjóður Tæknifræðingafélags Íslands</t>
  </si>
  <si>
    <t>28.</t>
  </si>
  <si>
    <t>Lífeyrissjóður K.E.A.</t>
  </si>
  <si>
    <t>29.</t>
  </si>
  <si>
    <t>Lífeyrissjóður verkalýðsfél. á Norðurl. vestra</t>
  </si>
  <si>
    <t>30.</t>
  </si>
  <si>
    <t>Lífeyrissjóður starfsmanna Reykjavíkurborgar</t>
  </si>
  <si>
    <t>31.</t>
  </si>
  <si>
    <t>Eftirlaunasj. starfsm. Búnaðarbanka Íslands</t>
  </si>
  <si>
    <t>32.</t>
  </si>
  <si>
    <t>Lífeyrissjóður Eimskipafélags Íslands hf.</t>
  </si>
  <si>
    <t>1) 4)</t>
  </si>
  <si>
    <t>33.</t>
  </si>
  <si>
    <t>Eftirlaunasj. starfsmanna Íslandsbanka hf.</t>
  </si>
  <si>
    <t>34.</t>
  </si>
  <si>
    <t>Lífeyrissjóðurinn Hlíf</t>
  </si>
  <si>
    <t>35.</t>
  </si>
  <si>
    <t>36.</t>
  </si>
  <si>
    <t>Almennur lífeyrissjóður VÍB</t>
  </si>
  <si>
    <t>37.</t>
  </si>
  <si>
    <t>Lífeyrissjóður Flugvirkjafélags Íslands</t>
  </si>
  <si>
    <t>38.</t>
  </si>
  <si>
    <t>39.</t>
  </si>
  <si>
    <t>Lífeyrissjóður Bolungarvíkur</t>
  </si>
  <si>
    <t>40.</t>
  </si>
  <si>
    <t>41.</t>
  </si>
  <si>
    <t>Lífeyrissjóður Rangæinga</t>
  </si>
  <si>
    <t>42.</t>
  </si>
  <si>
    <t>Eftirlaunasj. slökkviliðsmanna á Keflavíkurfl.v.</t>
  </si>
  <si>
    <t>Skýringar:</t>
  </si>
  <si>
    <t>1)    Ábyrgð launagreiðenda á skuldbindingum sbr. kafla 4.2. hér á eftir.  2)  SAL-sjóður.  3)  Séreignasjóður.</t>
  </si>
  <si>
    <t>43.</t>
  </si>
  <si>
    <t>Lífeyrissjóður blaðamanna</t>
  </si>
  <si>
    <t>44.</t>
  </si>
  <si>
    <t>Lífeyrissjóður Mjólkursamsölunnar</t>
  </si>
  <si>
    <t>45.</t>
  </si>
  <si>
    <t>Lífeyrissjóður starfsm. Kópavogskaupstaðar</t>
  </si>
  <si>
    <t>46.</t>
  </si>
  <si>
    <t>47.</t>
  </si>
  <si>
    <t>Lífeyrissjóður starfsm. Akureyrarbæjar</t>
  </si>
  <si>
    <t>48.</t>
  </si>
  <si>
    <t>Lífeyrissj. Fél. ísl. stjstarfsm. á Keflvflugvelli</t>
  </si>
  <si>
    <t>49.</t>
  </si>
  <si>
    <t>Lífeyrissjóður Tannlæknafélags Íslands</t>
  </si>
  <si>
    <t>50.</t>
  </si>
  <si>
    <t>Lífeyrissjóður verkafólks í Grindavík</t>
  </si>
  <si>
    <t>51.</t>
  </si>
  <si>
    <t>Eftirlaunasjóður Sláturf. Suðurlands</t>
  </si>
  <si>
    <t>4)</t>
  </si>
  <si>
    <t>52.</t>
  </si>
  <si>
    <t>Lífeyrissjóður Akraneskaupstaðar</t>
  </si>
  <si>
    <t>53.</t>
  </si>
  <si>
    <t>Eftirlaunasjóður starfsmanna Olíuverslunar Ísl.</t>
  </si>
  <si>
    <t>54.</t>
  </si>
  <si>
    <t>Íslenski lífeyrissjóðurinn</t>
  </si>
  <si>
    <t>55.</t>
  </si>
  <si>
    <t>56.</t>
  </si>
  <si>
    <t>57.</t>
  </si>
  <si>
    <t>Lífeyrissjóðurinn Skjöldur</t>
  </si>
  <si>
    <t>58.</t>
  </si>
  <si>
    <t>59.</t>
  </si>
  <si>
    <t>Lífeyrissjóður Félags íslenskra leikara</t>
  </si>
  <si>
    <t>3) 4)</t>
  </si>
  <si>
    <t>60.</t>
  </si>
  <si>
    <t>61.</t>
  </si>
  <si>
    <t>62.</t>
  </si>
  <si>
    <t>63.</t>
  </si>
  <si>
    <t>Lífeyrissjóðurinn Eining</t>
  </si>
  <si>
    <t>64.</t>
  </si>
  <si>
    <t>Lífeyrissjóður starfsmanna Húsavíkurbæjar</t>
  </si>
  <si>
    <t>65.</t>
  </si>
  <si>
    <t>Lífeyrissjóður leigubifreiðastjóra</t>
  </si>
  <si>
    <t>Eftirlaunasjóður starfsm. Útvegsbanka Ísl.</t>
  </si>
  <si>
    <t>Lífeyrissjóður Neskaupstaðar</t>
  </si>
  <si>
    <t>Lífeyrissjóður Iðnaðarmannafél. Suðurnesja</t>
  </si>
  <si>
    <t>Tryggingasjóður lækna</t>
  </si>
  <si>
    <t>Lífeyrissjóður starfsm. Vestmannaeyjabæjar</t>
  </si>
  <si>
    <t>Lífeyrissjóður starfsm. Sjóvátryggingafél. ísl.</t>
  </si>
  <si>
    <t>Lífeyrissjóður starfsm. Reykjavíkurapóteks</t>
  </si>
  <si>
    <t>Lífeyrissjóður alþingismanna</t>
  </si>
  <si>
    <t>Lífeyrissjóður ráðherra</t>
  </si>
  <si>
    <t>Samtals:</t>
  </si>
  <si>
    <t xml:space="preserve">4.1.A.  YFIRLIT YFIR NIÐURSTÖÐUR TRYGGINGAFRÆÐILEGRA ÚTTEKTA </t>
  </si>
  <si>
    <t>HJÁ LÍFEYRISSJÓÐUM MEÐ ÁBYRGÐ LAUNAGREIÐENDA Á SKULDBINDINGUM</t>
  </si>
  <si>
    <t xml:space="preserve">           Niðurstöður án endurmats höfuðstóls</t>
  </si>
  <si>
    <t>Niðurst. án endurm. höfuðst.</t>
  </si>
  <si>
    <t xml:space="preserve">  Niðurstöður m.v. endurmetinn höfuðstól</t>
  </si>
  <si>
    <t>SJÓÐIR MEÐ ÁBYRGÐ</t>
  </si>
  <si>
    <t>Höfuðst.</t>
  </si>
  <si>
    <t>Heildar-</t>
  </si>
  <si>
    <t>Jöfnuður</t>
  </si>
  <si>
    <t>Jöfn. í % af</t>
  </si>
  <si>
    <t>Áfallin</t>
  </si>
  <si>
    <t>Úttekt</t>
  </si>
  <si>
    <t>Framt.</t>
  </si>
  <si>
    <t>LAUNAGREIÐENDA</t>
  </si>
  <si>
    <t>í árslok</t>
  </si>
  <si>
    <t>í lok út-</t>
  </si>
  <si>
    <t>+framt.</t>
  </si>
  <si>
    <t>skuld-</t>
  </si>
  <si>
    <t>heildar-</t>
  </si>
  <si>
    <t>áfallinna</t>
  </si>
  <si>
    <t>áföllnum</t>
  </si>
  <si>
    <t xml:space="preserve">miðast </t>
  </si>
  <si>
    <t>iðgj. í %</t>
  </si>
  <si>
    <t xml:space="preserve">Hækkun </t>
  </si>
  <si>
    <t>tektarárs</t>
  </si>
  <si>
    <t>iðgjöld</t>
  </si>
  <si>
    <t>binding</t>
  </si>
  <si>
    <t>skuldb.</t>
  </si>
  <si>
    <t>við lok</t>
  </si>
  <si>
    <t>Framt.-</t>
  </si>
  <si>
    <t>af heild.-</t>
  </si>
  <si>
    <t>endurm.</t>
  </si>
  <si>
    <t>Nr.</t>
  </si>
  <si>
    <t>Skýr:</t>
  </si>
  <si>
    <t>m.kr.</t>
  </si>
  <si>
    <t>árs:</t>
  </si>
  <si>
    <t>í %</t>
  </si>
  <si>
    <t xml:space="preserve"> 2% vextir.</t>
  </si>
  <si>
    <t>(1)</t>
  </si>
  <si>
    <t>(9)</t>
  </si>
  <si>
    <t>(10)</t>
  </si>
  <si>
    <t>(11)</t>
  </si>
  <si>
    <t xml:space="preserve"> 1)</t>
  </si>
  <si>
    <t>Lífesj. stm. Reykjavíkurb.</t>
  </si>
  <si>
    <t>Lífesj. stm. Kópav.kaup.</t>
  </si>
  <si>
    <t>Lífesj. stm. Akureyrarb.</t>
  </si>
  <si>
    <t>Lífesj. Akraneskaupst.</t>
  </si>
  <si>
    <t>Lífesj. stm. Húsavíkurb.</t>
  </si>
  <si>
    <t>Eftirlsj. stm. Útvegsb. Ísl.</t>
  </si>
  <si>
    <t xml:space="preserve">  3)</t>
  </si>
  <si>
    <t>Lífesj. Neskaupstaðar</t>
  </si>
  <si>
    <t>Lífesj. stm. Vestme.bæjar</t>
  </si>
  <si>
    <t>Lífesj. alþingismanna</t>
  </si>
  <si>
    <t>Lífesj. ráðherra</t>
  </si>
  <si>
    <t>3% vextir nema annað komi fram.</t>
  </si>
  <si>
    <t xml:space="preserve">Eftirlsj. stm. Búnaðarb. </t>
  </si>
  <si>
    <t>Framhald á næstu síðu</t>
  </si>
  <si>
    <t>1)   Sjá nánari skýringar síðar í kafla 4.1.</t>
  </si>
  <si>
    <t>2)   Miðað er við 3,5% vexti.</t>
  </si>
  <si>
    <t>3)   Tekur ekki lengur við iðgjöldum.</t>
  </si>
  <si>
    <t>Framhald</t>
  </si>
  <si>
    <t xml:space="preserve"> 3% vextir nema</t>
  </si>
  <si>
    <t xml:space="preserve">  annað komi fram.</t>
  </si>
  <si>
    <t>Lífesj. Eimskipafél. Ísl. hf.</t>
  </si>
  <si>
    <t>1)2)3)</t>
  </si>
  <si>
    <t>Eftlsj. stm. Íslandsb. hf.</t>
  </si>
  <si>
    <t xml:space="preserve"> 1)4)</t>
  </si>
  <si>
    <t>Lífesj. stm. Sjóvátrfél. Ísl.</t>
  </si>
  <si>
    <t xml:space="preserve">  2)3)</t>
  </si>
  <si>
    <t>4)  Tekur ekki við nýjum sjóðfélögum frá ársbyrjun 1995</t>
  </si>
  <si>
    <t>4.1.B.  YFIRLIT YFIR NIÐURSTÖÐUR TRYGGINGAFRÆÐILEGRA  ÚTTEKTA</t>
  </si>
  <si>
    <t>HJÁ LÍFEYRISSJÓÐUM ÁN ÁBYRGÐAR LAUNAGREIÐENDA Á SKULDBINDINGUM</t>
  </si>
  <si>
    <t>SJÓÐIR ÁN ÁBYRGÐAR</t>
  </si>
  <si>
    <t xml:space="preserve"> 3,5% vextir nema</t>
  </si>
  <si>
    <t>Lífesj. verslunarmanna</t>
  </si>
  <si>
    <t>Sameinaði lífeyrissj.</t>
  </si>
  <si>
    <t>Söfnunarsj. lífeyrisrétt.</t>
  </si>
  <si>
    <t>Lífeyrissj. Norðurlands</t>
  </si>
  <si>
    <t>Samvinnulífeyrissj.</t>
  </si>
  <si>
    <t>Lífeyrissj. bænda</t>
  </si>
  <si>
    <t>Lífeyrissj. Austurlands</t>
  </si>
  <si>
    <t>Lífeyrissj. Vestfirðinga</t>
  </si>
  <si>
    <t>Lífeyrissj. Suðurnesja</t>
  </si>
  <si>
    <t>Lífeyrissj. lækna</t>
  </si>
  <si>
    <t>Lífesj. Verkfrfélags Ísl.</t>
  </si>
  <si>
    <t>Lífeyrissj. Vesturlands</t>
  </si>
  <si>
    <t>Lífesj. verkalfél. á Suðurl.</t>
  </si>
  <si>
    <t>2)   Miðað er við 3% vexti.</t>
  </si>
  <si>
    <t>Lífesj.verkalf. á Norðurl.v.</t>
  </si>
  <si>
    <t>Lífesj. Flugvirkjafél. Ísl.</t>
  </si>
  <si>
    <t>Lífeyrissj. Bolungarvíkur</t>
  </si>
  <si>
    <t xml:space="preserve">  </t>
  </si>
  <si>
    <t>Lífeyrissj. Rangæinga</t>
  </si>
  <si>
    <t>Eftlsj. slökkv.lm. Kef.flv.</t>
  </si>
  <si>
    <t>Lífeyrissj. blaðamanna</t>
  </si>
  <si>
    <t>Lífesj. Mjólkursamsöl.</t>
  </si>
  <si>
    <t>Lífesj. verkaf. í Grindavík</t>
  </si>
  <si>
    <t>Eftirlsj. Sláturf. Suðurl.</t>
  </si>
  <si>
    <t xml:space="preserve"> 3)</t>
  </si>
  <si>
    <t>Eftirlsj. stm. Olíuv. Ísl.</t>
  </si>
  <si>
    <t>Lífesj. stm. Áburðarvsm.</t>
  </si>
  <si>
    <t>1)3)</t>
  </si>
  <si>
    <t>Lífeyrissj. Skjöldur</t>
  </si>
  <si>
    <t>Lífesj. leigubifreiðastjóra</t>
  </si>
  <si>
    <t>Lífesj. stm. Reykjavapót.</t>
  </si>
  <si>
    <t>2)3)</t>
  </si>
  <si>
    <t>Hækkun vísit. neysluv.(VNV)</t>
  </si>
  <si>
    <t xml:space="preserve">fremst í kafla 3 </t>
  </si>
  <si>
    <t>og kafla 4.1</t>
  </si>
  <si>
    <t>Sjá skýringu</t>
  </si>
  <si>
    <t xml:space="preserve">Raunávöxtun m.v. VNV. </t>
  </si>
  <si>
    <t>Lífeyrissjóðurinn Framsýn</t>
  </si>
  <si>
    <t>Hlutföll af</t>
  </si>
  <si>
    <t>Hlutfall af</t>
  </si>
  <si>
    <t>vegna lágra</t>
  </si>
  <si>
    <t>iðgjalda</t>
  </si>
  <si>
    <t>Lífesj. hjúkrunarfræðinga</t>
  </si>
  <si>
    <t xml:space="preserve">fræðinga </t>
  </si>
  <si>
    <t>Lífeyrissjóður hjúkrunarfræðinga</t>
  </si>
  <si>
    <t>(53)</t>
  </si>
  <si>
    <t>(59)</t>
  </si>
  <si>
    <t xml:space="preserve">Ógreidd framlög atvinnurekenda </t>
  </si>
  <si>
    <t xml:space="preserve">    vegna lífeyrishækkana</t>
  </si>
  <si>
    <t>Hrein eign til greiðslu lífeyris:</t>
  </si>
  <si>
    <t xml:space="preserve"> SAMTALS  </t>
  </si>
  <si>
    <t xml:space="preserve">  ALLIR    </t>
  </si>
  <si>
    <t>Raunávöxtun</t>
  </si>
  <si>
    <t>Séreignasj.</t>
  </si>
  <si>
    <t>2) 5)</t>
  </si>
  <si>
    <t xml:space="preserve">    þ.a. tekjur </t>
  </si>
  <si>
    <t xml:space="preserve">    þ.a.  gjöld</t>
  </si>
  <si>
    <t xml:space="preserve">    Annar rekstrarkostnaður </t>
  </si>
  <si>
    <t xml:space="preserve">    Tap af sölu fjárfestinga</t>
  </si>
  <si>
    <t xml:space="preserve">    Vaxtagjöld</t>
  </si>
  <si>
    <t xml:space="preserve">    Reikn. tekjur/gjöld v. verðl.br. </t>
  </si>
  <si>
    <t xml:space="preserve">    Hagnaður af sölu fjárfestinga</t>
  </si>
  <si>
    <t xml:space="preserve">    Vaxtatekjur og gengismunur</t>
  </si>
  <si>
    <t xml:space="preserve">    Annar beinn kostn. v/ örorkulífeyris</t>
  </si>
  <si>
    <t xml:space="preserve">    Umsjónarnefnd eftirlauna </t>
  </si>
  <si>
    <t xml:space="preserve">    Lífeyrir </t>
  </si>
  <si>
    <t xml:space="preserve">    Sjóðfélagar</t>
  </si>
  <si>
    <t xml:space="preserve">    Launagreiðendur </t>
  </si>
  <si>
    <t xml:space="preserve">    Réttindaflutn. og endurgr.</t>
  </si>
  <si>
    <t xml:space="preserve">    Sérstök aukaframlög</t>
  </si>
  <si>
    <t xml:space="preserve">     Iðgjöld    </t>
  </si>
  <si>
    <t xml:space="preserve">     Lífeyrir    </t>
  </si>
  <si>
    <t xml:space="preserve">     Fjárfestingartekjur    </t>
  </si>
  <si>
    <t xml:space="preserve">             Fjárfestingargjöld    </t>
  </si>
  <si>
    <t xml:space="preserve">     Rekstrarkostnaður    </t>
  </si>
  <si>
    <t xml:space="preserve">    Af eignarhlutum</t>
  </si>
  <si>
    <t xml:space="preserve">    Af húseignum og lóðum</t>
  </si>
  <si>
    <t xml:space="preserve">    Skrifstofu- og stjórnunarkostnaður </t>
  </si>
  <si>
    <t>Iðgjöld</t>
  </si>
  <si>
    <t>Lífeyrir</t>
  </si>
  <si>
    <t>Fjárfestingartekjur</t>
  </si>
  <si>
    <t>Fjárfestingargjöld</t>
  </si>
  <si>
    <t xml:space="preserve">Rekstrarkostnaður    </t>
  </si>
  <si>
    <t>Aðrar tekjur</t>
  </si>
  <si>
    <t>Önnur gjöld</t>
  </si>
  <si>
    <t>Hækkun á hreinni eign fyrir</t>
  </si>
  <si>
    <t>óreglulega liði og matsbreytingar</t>
  </si>
  <si>
    <t>Óreglulegar tekjur og gjöld</t>
  </si>
  <si>
    <t>Matsbreytingar</t>
  </si>
  <si>
    <t>Hækkun á hreinni eign á árinu</t>
  </si>
  <si>
    <t>Hrein eign frá fyrra ári</t>
  </si>
  <si>
    <t xml:space="preserve">EIGNIR </t>
  </si>
  <si>
    <t>SKULDIR</t>
  </si>
  <si>
    <t xml:space="preserve">      Aðrar fjárfestingar    </t>
  </si>
  <si>
    <t xml:space="preserve">Kröfur    </t>
  </si>
  <si>
    <t xml:space="preserve">Aðrar eignir    </t>
  </si>
  <si>
    <t xml:space="preserve">Viðskiptaskuldir    </t>
  </si>
  <si>
    <t>Inngreiðslur</t>
  </si>
  <si>
    <t xml:space="preserve">    Iðgjöld</t>
  </si>
  <si>
    <t xml:space="preserve">    Fjárfestingartekjur</t>
  </si>
  <si>
    <t xml:space="preserve">    Aðrar tekjur </t>
  </si>
  <si>
    <t xml:space="preserve">    Afborganir verðbréfa</t>
  </si>
  <si>
    <t xml:space="preserve">    Lækkun á bundnum innlánum</t>
  </si>
  <si>
    <t xml:space="preserve">    Seldar aðrar fjárfestingar</t>
  </si>
  <si>
    <t xml:space="preserve">    Lækkun á kröfum</t>
  </si>
  <si>
    <t xml:space="preserve">    Aðrar inngreiðslur</t>
  </si>
  <si>
    <t xml:space="preserve">Inngreiðslur    </t>
  </si>
  <si>
    <t>Útgreiðslur</t>
  </si>
  <si>
    <t xml:space="preserve">    Fjárfestingargjöld</t>
  </si>
  <si>
    <t xml:space="preserve">    Rekstrarkostnaður án afskrifta</t>
  </si>
  <si>
    <t xml:space="preserve">    Önnur gjöld </t>
  </si>
  <si>
    <t xml:space="preserve">    Hækkun á kröfum</t>
  </si>
  <si>
    <t xml:space="preserve">    Aðrar útgreiðslur</t>
  </si>
  <si>
    <t xml:space="preserve">Útgreiðslur    </t>
  </si>
  <si>
    <t>Ráðstöfunarfé til kaupa á verð-</t>
  </si>
  <si>
    <t xml:space="preserve">bréfum og annarri fjárfestingu </t>
  </si>
  <si>
    <t xml:space="preserve">    Verðbréf með breytilegum tekjum</t>
  </si>
  <si>
    <t xml:space="preserve">    Verðbréf með föstum tekjum</t>
  </si>
  <si>
    <t xml:space="preserve">    Ný veðlán og útlán</t>
  </si>
  <si>
    <t xml:space="preserve">    Aðrar fjárfestingar</t>
  </si>
  <si>
    <t xml:space="preserve">    Húseignir og lóðir</t>
  </si>
  <si>
    <t>Hækkun á handbæru fé</t>
  </si>
  <si>
    <t>Handbært fé í ársbyrjun</t>
  </si>
  <si>
    <t>Handbært fé í árslok</t>
  </si>
  <si>
    <t xml:space="preserve"> 31.12.1997</t>
  </si>
  <si>
    <t xml:space="preserve">       3.6. YFIRLIT YFIR LÍFEYRISSJÓÐI Í STÆRÐARRÖÐ 31.12.1997</t>
  </si>
  <si>
    <t>árið 1997</t>
  </si>
  <si>
    <t>Lífiðn</t>
  </si>
  <si>
    <t>(11 sjóðir)</t>
  </si>
  <si>
    <t>(11sjóðir)</t>
  </si>
  <si>
    <t>Markaðsskuldabréf</t>
  </si>
  <si>
    <r>
      <t xml:space="preserve">SKULDIR SAMTALS    </t>
    </r>
    <r>
      <rPr>
        <i/>
        <sz val="10"/>
        <color indexed="18"/>
        <rFont val="Times New Roman"/>
        <family val="1"/>
      </rPr>
      <t xml:space="preserve">    </t>
    </r>
  </si>
  <si>
    <t xml:space="preserve">EIGNIR SAMTALS      </t>
  </si>
  <si>
    <t xml:space="preserve">    Tekjur vegna matsbr. fjárfestinga</t>
  </si>
  <si>
    <t xml:space="preserve">    Gjöld vegna matsbr. fjárfestinga</t>
  </si>
  <si>
    <t xml:space="preserve">   Ríkissjóður Íslands, alls</t>
  </si>
  <si>
    <t xml:space="preserve">       spariskírteini</t>
  </si>
  <si>
    <t xml:space="preserve">       ríkisbréf</t>
  </si>
  <si>
    <t xml:space="preserve">   Skuldabréf erlendra aðila</t>
  </si>
  <si>
    <t xml:space="preserve">       útgefin í erlendri mynt</t>
  </si>
  <si>
    <t xml:space="preserve">       útgefin í íslenskum krónum</t>
  </si>
  <si>
    <t xml:space="preserve">   Einstaklingar (s.s. sjóðfélagalán)</t>
  </si>
  <si>
    <t>Skammtímaverðbréf</t>
  </si>
  <si>
    <t>Önnur skuldabréf</t>
  </si>
  <si>
    <t>Hlutdeildarskírteini verðbréfasjóða</t>
  </si>
  <si>
    <t>Hlutabréfasjóðir</t>
  </si>
  <si>
    <t xml:space="preserve">       þ.a. erl. verðbréfasj. (open-end)</t>
  </si>
  <si>
    <t xml:space="preserve">       þ.a. erl. hlutabréfasj. (closed-end)</t>
  </si>
  <si>
    <t>Hlutabréf</t>
  </si>
  <si>
    <r>
      <t xml:space="preserve">      </t>
    </r>
    <r>
      <rPr>
        <sz val="10"/>
        <color indexed="12"/>
        <rFont val="Times New Roman"/>
        <family val="1"/>
      </rPr>
      <t>innlend hlutabréf</t>
    </r>
  </si>
  <si>
    <r>
      <t xml:space="preserve">      </t>
    </r>
    <r>
      <rPr>
        <sz val="10"/>
        <color indexed="12"/>
        <rFont val="Times New Roman"/>
        <family val="1"/>
      </rPr>
      <t>erlend hlutabréf</t>
    </r>
  </si>
  <si>
    <t>Bundin innlán hjá lánastofnunum</t>
  </si>
  <si>
    <t>Annað</t>
  </si>
  <si>
    <t xml:space="preserve">            Önnur skráð hlutabréf</t>
  </si>
  <si>
    <t xml:space="preserve">            Óskráð hlutabréf</t>
  </si>
  <si>
    <r>
      <t xml:space="preserve">            </t>
    </r>
    <r>
      <rPr>
        <sz val="8"/>
        <color indexed="12"/>
        <rFont val="Times New Roman"/>
        <family val="1"/>
      </rPr>
      <t>Skráð á Verðbréfaþingi Ísl.</t>
    </r>
  </si>
  <si>
    <t xml:space="preserve">       útgefið erlendis</t>
  </si>
  <si>
    <t>Kaup á verðbr. og önnur fjárfesting</t>
  </si>
  <si>
    <t xml:space="preserve">    Seld verðbréf m. breytil. tekjum</t>
  </si>
  <si>
    <t xml:space="preserve">    Seld verðbréf m. föstum tekjum</t>
  </si>
  <si>
    <t>Lífeyrissjóðurinn Lífiðn</t>
  </si>
  <si>
    <t>Séreignalífeyrissjóðurinn</t>
  </si>
  <si>
    <t xml:space="preserve">   Ríkissjóður Íslands og ríkisstofnanir</t>
  </si>
  <si>
    <t xml:space="preserve">       útgefið innanlands, gengisbundið</t>
  </si>
  <si>
    <t>AÐRAR FJÁRFESTINGAR ALLS</t>
  </si>
  <si>
    <r>
      <t xml:space="preserve">   </t>
    </r>
    <r>
      <rPr>
        <b/>
        <sz val="10"/>
        <color indexed="18"/>
        <rFont val="Times New Roman"/>
        <family val="1"/>
      </rPr>
      <t>Fyrirfr.gr.kostn.og áfallnar tekjur</t>
    </r>
  </si>
  <si>
    <t xml:space="preserve">   Óefnislegar eignir</t>
  </si>
  <si>
    <t xml:space="preserve">   Fjárfestingar</t>
  </si>
  <si>
    <t xml:space="preserve">     Húseignir og lóðir</t>
  </si>
  <si>
    <t xml:space="preserve">     Aðrar fjárfestingar</t>
  </si>
  <si>
    <t xml:space="preserve">     Verðbréf með breytilegum tekjum</t>
  </si>
  <si>
    <t xml:space="preserve">     Verðbréf með föstum tekjum</t>
  </si>
  <si>
    <t xml:space="preserve">     Veðlán</t>
  </si>
  <si>
    <t xml:space="preserve">     Önnur útlán</t>
  </si>
  <si>
    <t xml:space="preserve">     Bundin innlán hjá lánastofnunum</t>
  </si>
  <si>
    <t xml:space="preserve">   Kröfur</t>
  </si>
  <si>
    <t xml:space="preserve">     Á launagreiðendur</t>
  </si>
  <si>
    <t xml:space="preserve">     Aðrar kröfur</t>
  </si>
  <si>
    <t xml:space="preserve">  Aðrar eignir</t>
  </si>
  <si>
    <t xml:space="preserve">     Rekstrarfjárm. og aðrar efnisl. eignir</t>
  </si>
  <si>
    <t xml:space="preserve">     Sjóður og bankainnstæður</t>
  </si>
  <si>
    <t xml:space="preserve">     Aðrar eignir</t>
  </si>
  <si>
    <r>
      <t xml:space="preserve">  </t>
    </r>
    <r>
      <rPr>
        <b/>
        <sz val="10"/>
        <color indexed="18"/>
        <rFont val="Times New Roman"/>
        <family val="1"/>
      </rPr>
      <t>Skuldbindingar</t>
    </r>
  </si>
  <si>
    <r>
      <t xml:space="preserve">   </t>
    </r>
    <r>
      <rPr>
        <b/>
        <sz val="10"/>
        <color indexed="18"/>
        <rFont val="Times New Roman"/>
        <family val="1"/>
      </rPr>
      <t>Viðskiptaskuldir</t>
    </r>
  </si>
  <si>
    <t xml:space="preserve">     Skuldir við lánastofnanir</t>
  </si>
  <si>
    <t xml:space="preserve">     Skuldabréfalán</t>
  </si>
  <si>
    <t xml:space="preserve">     Aðrar skuldir</t>
  </si>
  <si>
    <t>HREIN EIGN Í ÁRSLOK</t>
  </si>
  <si>
    <t>TIL GREIÐSLU LÍFEYRIS</t>
  </si>
  <si>
    <r>
      <t xml:space="preserve">    Hækk. bankainnst. ( &gt;3 mán</t>
    </r>
    <r>
      <rPr>
        <u val="single"/>
        <sz val="10"/>
        <color indexed="12"/>
        <rFont val="Times New Roman"/>
        <family val="1"/>
      </rPr>
      <t>&lt;</t>
    </r>
    <r>
      <rPr>
        <sz val="10"/>
        <color indexed="12"/>
        <rFont val="Times New Roman"/>
        <family val="0"/>
      </rPr>
      <t>1 ár)</t>
    </r>
  </si>
  <si>
    <r>
      <t xml:space="preserve">    Lækk. bankainnst. ( &gt;3 mán</t>
    </r>
    <r>
      <rPr>
        <u val="single"/>
        <sz val="10"/>
        <color indexed="12"/>
        <rFont val="Times New Roman"/>
        <family val="1"/>
      </rPr>
      <t>&lt;</t>
    </r>
    <r>
      <rPr>
        <sz val="10"/>
        <color indexed="12"/>
        <rFont val="Times New Roman"/>
        <family val="0"/>
      </rPr>
      <t>1 ár)</t>
    </r>
  </si>
  <si>
    <t xml:space="preserve">    Hækkun á bundnum innl. (&gt; 1 ár)</t>
  </si>
  <si>
    <t xml:space="preserve">Markaðsskuldabréf    </t>
  </si>
  <si>
    <t xml:space="preserve">Önnur skuldabréf    </t>
  </si>
  <si>
    <t xml:space="preserve">Hlutabréf    </t>
  </si>
  <si>
    <t xml:space="preserve">Kaup á verðbr. og önnur fjárfest.  </t>
  </si>
  <si>
    <t>(13 sjóðir)</t>
  </si>
  <si>
    <t xml:space="preserve">    (12)</t>
  </si>
  <si>
    <t>Kostn. á hv. virkan sjóðf.</t>
  </si>
  <si>
    <t>Reykjanes-</t>
  </si>
  <si>
    <t>Eftirlaunasjóður Reykjanesbæjar</t>
  </si>
  <si>
    <t xml:space="preserve">4)   Tekur ekki við iðgjöldum.  5) Lífeyrissjóðir sem sameinast viðkomandi sjóði árið 1997 eru meðtaldir í árslok 1996.  </t>
  </si>
  <si>
    <t xml:space="preserve">Meðalávöxtun </t>
  </si>
  <si>
    <t>1996-1997.</t>
  </si>
  <si>
    <t>frá stofnun</t>
  </si>
  <si>
    <t>Eftirlsj. Reykjanesbæjar</t>
  </si>
  <si>
    <t>eyja</t>
  </si>
  <si>
    <t xml:space="preserve">eyja </t>
  </si>
  <si>
    <t>Lífeyrissjóður Vestmannaeyja</t>
  </si>
  <si>
    <t>Lífeyrissj. Vestmannaeyja</t>
  </si>
  <si>
    <t xml:space="preserve"> 1.  Lífeyrisgreiðslur sem hlutfall af iðgjöldum.</t>
  </si>
  <si>
    <t xml:space="preserve"> 2.  Kostnaður (rekstrarkostnaður + önnur gjöld - aðrar tekjur) sem hlutfall af iðgjöldum.</t>
  </si>
  <si>
    <t xml:space="preserve"> 3.  Kostnaður (rekstrarkostnaður + önnur gjöld - aðrar tekjur) sem hlutfall af meðaltali </t>
  </si>
  <si>
    <t xml:space="preserve">      hreinnar eignar í ársbyrjun og árslok.</t>
  </si>
  <si>
    <t xml:space="preserve">4)  Tekur ekki við iðgjöldum.  5) Lífeyrissjóðir sem sameinast viðkomandi sjóði árið 1997 eru meðtaldir í árslok 1996.  </t>
  </si>
  <si>
    <t>1)  Ábyrgð launagreiðenda á skuldbindingum sbr. kafla 4.2. hér á eftir.  2)  SAL-sjóður.  3)  Séreignasjóður.</t>
  </si>
  <si>
    <t>st.m. ríkisins</t>
  </si>
  <si>
    <t>B-deild</t>
  </si>
  <si>
    <t>A-deild</t>
  </si>
  <si>
    <t>66.</t>
  </si>
  <si>
    <t>Lífeyrissjóður starfsmanna ríkisins A-deild</t>
  </si>
  <si>
    <t>Lífeyrissjóður starfsmanna ríkisins B-deild</t>
  </si>
  <si>
    <t>(55 sjóðir)</t>
  </si>
  <si>
    <t>(66 sjóðir)</t>
  </si>
  <si>
    <t>Lífesjóður Arkitekta</t>
  </si>
  <si>
    <t>Lífeyrissjóður Arkitekta</t>
  </si>
  <si>
    <t>Arkitekta</t>
  </si>
  <si>
    <t>Lífesj. st.m. ríkisins B-deild</t>
  </si>
  <si>
    <t xml:space="preserve">Meðalávöxtun 1993-´97 </t>
  </si>
  <si>
    <t xml:space="preserve"> 9.  Hrein raunávöxtun miðað við vísitölu neysluverðs þar sem  </t>
  </si>
  <si>
    <t>Eftirlaunasjóður FÍA</t>
  </si>
  <si>
    <t>Eftirlauna-</t>
  </si>
  <si>
    <t>FÍA</t>
  </si>
  <si>
    <t>Eftirlaunasj. starfsm. Hafnarfjarðarkaupstaðar</t>
  </si>
  <si>
    <t>Eftirlsj. stm. Hafnarfj.kaupst.</t>
  </si>
  <si>
    <t>Eftirlaunasj. Landsbanka og Seðlabanka</t>
  </si>
  <si>
    <t xml:space="preserve">Eftirlsj. Landsb. og Seðlab. </t>
  </si>
  <si>
    <t>(23 sjóðir)</t>
  </si>
  <si>
    <t>Lífeyrissj. starfsm. Áburðarverksmiðju ríkisins</t>
  </si>
  <si>
    <t>10. Meðaltal hreinnar raunávöxtunar síðustu 5 ára samkvæmt ársreikningum.</t>
  </si>
  <si>
    <t>11. Meðaltal fjölda sjóðfélaga sem greiddi iðgjald vegna mars og október.</t>
  </si>
  <si>
    <t>12. Meðaltal fjölda lífeyrisþega sem fékk greiddan lífeyri vegna mars og október.</t>
  </si>
  <si>
    <t>13. Reiknast sem slysatryggðar vinnuvikur deilt með 52.</t>
  </si>
  <si>
    <t>14. Lífeyrir skv. reglugerð sjóðsins sbr. skýringu í 3. kafla.</t>
  </si>
  <si>
    <t xml:space="preserve">   Áfallinn kostn. og f.fr.innh.tekjur</t>
  </si>
  <si>
    <t xml:space="preserve"> 8.  Raunávöxtun eigna miðað við vísitölu neysluverðs (2,02% hækkun á árinu 1997). </t>
  </si>
  <si>
    <t>frá 1995.</t>
  </si>
  <si>
    <t>frá 1996.</t>
  </si>
  <si>
    <t>Meðalávöxtun</t>
  </si>
  <si>
    <r>
      <t xml:space="preserve">     Aðrar fjárfestingar </t>
    </r>
    <r>
      <rPr>
        <i/>
        <sz val="8"/>
        <color indexed="18"/>
        <rFont val="Times New Roman"/>
        <family val="1"/>
      </rPr>
      <t>1)</t>
    </r>
  </si>
  <si>
    <t>Fjárfestingar</t>
  </si>
  <si>
    <t>Rekstrarkostn. í % af iðgj.</t>
  </si>
  <si>
    <t>Rekstrark. í % af eignum</t>
  </si>
  <si>
    <t>Rekstrark. á hv. virk. sjóðf.</t>
  </si>
  <si>
    <t xml:space="preserve"> 5.  Rekstrarkostnaður sem hlutfall af iðgjöldum.</t>
  </si>
  <si>
    <t xml:space="preserve"> 6.  Rekstrarkostnaður sem hlutfall af meðaltali hreinnar eignar í ársbyrjun og árslok.</t>
  </si>
  <si>
    <t xml:space="preserve"> 7.  Rekstrarkostnaður á hvern virkan sjóðfélaga. </t>
  </si>
  <si>
    <t xml:space="preserve">      kostnaður(rekstrarkostnaður + önnur gjöld - aðrar tekjur) er dreginn frá fjárfestingartekjum.</t>
  </si>
  <si>
    <t>Sundurliðun innl. og erl. hlutabréfaeignar:</t>
  </si>
  <si>
    <t>Samtals</t>
  </si>
  <si>
    <t xml:space="preserve">   (Hlutabréf hlutabréfasjóða ekki talin með)</t>
  </si>
  <si>
    <t>annarra</t>
  </si>
  <si>
    <t>Sameignarsjóðir án                   ábyrgðar annarra</t>
  </si>
  <si>
    <t>SAL</t>
  </si>
  <si>
    <t>Aðrir</t>
  </si>
  <si>
    <t>Sameignarsj.</t>
  </si>
  <si>
    <t>með ábyrgð</t>
  </si>
  <si>
    <t xml:space="preserve"> 4.  Kostnaður (rekstrarkostnaður + önnur gjöld - aðrar tekjur) á hvern virkan sjóðfélaga. 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</si>
</sst>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General_)"/>
    <numFmt numFmtId="177" formatCode="#,##0_);\(#,##0\)"/>
    <numFmt numFmtId="178" formatCode="0.0_)"/>
    <numFmt numFmtId="179" formatCode="0.0"/>
    <numFmt numFmtId="180" formatCode="0.0%"/>
    <numFmt numFmtId="181" formatCode="#,##0.0"/>
    <numFmt numFmtId="182" formatCode="0.000"/>
    <numFmt numFmtId="183" formatCode="#,##0.0;\-#,##0.0"/>
    <numFmt numFmtId="184" formatCode="0.000%"/>
    <numFmt numFmtId="185" formatCode="#,##0.0;[Red]\-#,##0.0"/>
    <numFmt numFmtId="186" formatCode="#,##0.000;[Red]\-#,##0.000"/>
    <numFmt numFmtId="187" formatCode="#,##0.000"/>
    <numFmt numFmtId="188" formatCode="#,##0.0000"/>
    <numFmt numFmtId="189" formatCode="#,##0\ &quot;kr.&quot;"/>
  </numFmts>
  <fonts count="77">
    <font>
      <sz val="10"/>
      <name val="Courier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i/>
      <sz val="10"/>
      <color indexed="12"/>
      <name val="Times New Roman"/>
      <family val="0"/>
    </font>
    <font>
      <sz val="10"/>
      <color indexed="12"/>
      <name val="Times New Roman"/>
      <family val="0"/>
    </font>
    <font>
      <sz val="12"/>
      <name val="Times New Roman"/>
      <family val="0"/>
    </font>
    <font>
      <b/>
      <u val="single"/>
      <sz val="12"/>
      <color indexed="12"/>
      <name val="Times New Roman"/>
      <family val="0"/>
    </font>
    <font>
      <b/>
      <u val="single"/>
      <sz val="12"/>
      <name val="Times New Roman"/>
      <family val="0"/>
    </font>
    <font>
      <sz val="10"/>
      <color indexed="12"/>
      <name val="Courier"/>
      <family val="0"/>
    </font>
    <font>
      <b/>
      <sz val="10"/>
      <color indexed="12"/>
      <name val="Times New Roman"/>
      <family val="0"/>
    </font>
    <font>
      <sz val="8"/>
      <name val="Times New Roman"/>
      <family val="0"/>
    </font>
    <font>
      <sz val="10"/>
      <color indexed="18"/>
      <name val="Times New Roman"/>
      <family val="0"/>
    </font>
    <font>
      <b/>
      <sz val="10"/>
      <color indexed="18"/>
      <name val="Times New Roman"/>
      <family val="0"/>
    </font>
    <font>
      <sz val="10"/>
      <color indexed="18"/>
      <name val="Courier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color indexed="37"/>
      <name val="Times New Roman"/>
      <family val="1"/>
    </font>
    <font>
      <sz val="12"/>
      <name val="Courier"/>
      <family val="0"/>
    </font>
    <font>
      <sz val="9"/>
      <color indexed="12"/>
      <name val="Times New Roman"/>
      <family val="0"/>
    </font>
    <font>
      <sz val="9"/>
      <name val="Courie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8"/>
      <color indexed="18"/>
      <name val="Times New Roman"/>
      <family val="0"/>
    </font>
    <font>
      <sz val="8"/>
      <name val="Courier"/>
      <family val="0"/>
    </font>
    <font>
      <sz val="9"/>
      <color indexed="18"/>
      <name val="Times New Roman"/>
      <family val="0"/>
    </font>
    <font>
      <b/>
      <sz val="9"/>
      <color indexed="18"/>
      <name val="Times New Roman"/>
      <family val="1"/>
    </font>
    <font>
      <sz val="10"/>
      <color indexed="10"/>
      <name val="Times New Roman"/>
      <family val="1"/>
    </font>
    <font>
      <i/>
      <sz val="10"/>
      <color indexed="12"/>
      <name val="Times New Roman"/>
      <family val="1"/>
    </font>
    <font>
      <i/>
      <sz val="10"/>
      <color indexed="18"/>
      <name val="Times New Roman"/>
      <family val="1"/>
    </font>
    <font>
      <sz val="10"/>
      <color indexed="10"/>
      <name val="Courier"/>
      <family val="0"/>
    </font>
    <font>
      <b/>
      <sz val="10"/>
      <color indexed="10"/>
      <name val="Times New Roman"/>
      <family val="0"/>
    </font>
    <font>
      <sz val="9"/>
      <color indexed="10"/>
      <name val="Courier"/>
      <family val="0"/>
    </font>
    <font>
      <sz val="9"/>
      <color indexed="10"/>
      <name val="Times New Roman"/>
      <family val="1"/>
    </font>
    <font>
      <sz val="8"/>
      <color indexed="10"/>
      <name val="Courier"/>
      <family val="0"/>
    </font>
    <font>
      <sz val="10"/>
      <color indexed="56"/>
      <name val="Times New Roman"/>
      <family val="1"/>
    </font>
    <font>
      <u val="single"/>
      <sz val="10"/>
      <color indexed="12"/>
      <name val="Times New Roman"/>
      <family val="1"/>
    </font>
    <font>
      <b/>
      <i/>
      <sz val="10"/>
      <color indexed="18"/>
      <name val="Times New Roman"/>
      <family val="1"/>
    </font>
    <font>
      <b/>
      <i/>
      <sz val="8"/>
      <color indexed="12"/>
      <name val="Times New Roman"/>
      <family val="1"/>
    </font>
    <font>
      <sz val="8"/>
      <color indexed="12"/>
      <name val="Times New Roman"/>
      <family val="1"/>
    </font>
    <font>
      <i/>
      <sz val="8"/>
      <color indexed="1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36">
    <xf numFmtId="176" fontId="0" fillId="0" borderId="0" xfId="0" applyAlignment="1">
      <alignment/>
    </xf>
    <xf numFmtId="3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2" fontId="6" fillId="0" borderId="0" xfId="0" applyNumberFormat="1" applyFont="1" applyAlignment="1" applyProtection="1">
      <alignment horizontal="centerContinuous"/>
      <protection locked="0"/>
    </xf>
    <xf numFmtId="3" fontId="10" fillId="0" borderId="0" xfId="0" applyNumberFormat="1" applyFont="1" applyAlignment="1" applyProtection="1">
      <alignment horizontal="fill"/>
      <protection locked="0"/>
    </xf>
    <xf numFmtId="172" fontId="6" fillId="0" borderId="0" xfId="0" applyNumberFormat="1" applyFont="1" applyAlignment="1" applyProtection="1">
      <alignment horizontal="left"/>
      <protection locked="0"/>
    </xf>
    <xf numFmtId="172" fontId="11" fillId="0" borderId="0" xfId="0" applyNumberFormat="1" applyFont="1" applyAlignment="1" applyProtection="1">
      <alignment horizontal="right"/>
      <protection locked="0"/>
    </xf>
    <xf numFmtId="172" fontId="6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/>
      <protection locked="0"/>
    </xf>
    <xf numFmtId="172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/>
    </xf>
    <xf numFmtId="172" fontId="6" fillId="0" borderId="0" xfId="0" applyNumberFormat="1" applyFont="1" applyAlignment="1" applyProtection="1">
      <alignment/>
      <protection/>
    </xf>
    <xf numFmtId="10" fontId="6" fillId="0" borderId="0" xfId="0" applyNumberFormat="1" applyFont="1" applyAlignment="1" applyProtection="1">
      <alignment/>
      <protection locked="0"/>
    </xf>
    <xf numFmtId="178" fontId="6" fillId="0" borderId="0" xfId="0" applyNumberFormat="1" applyFont="1" applyAlignment="1" applyProtection="1">
      <alignment/>
      <protection locked="0"/>
    </xf>
    <xf numFmtId="0" fontId="4" fillId="0" borderId="0" xfId="55" applyAlignment="1">
      <alignment horizontal="right"/>
      <protection/>
    </xf>
    <xf numFmtId="3" fontId="4" fillId="0" borderId="0" xfId="55" applyNumberFormat="1">
      <alignment/>
      <protection/>
    </xf>
    <xf numFmtId="0" fontId="4" fillId="0" borderId="0" xfId="55">
      <alignment/>
      <protection/>
    </xf>
    <xf numFmtId="0" fontId="1" fillId="0" borderId="0" xfId="55" applyFont="1">
      <alignment/>
      <protection/>
    </xf>
    <xf numFmtId="0" fontId="4" fillId="0" borderId="0" xfId="55" applyAlignment="1">
      <alignment horizontal="center"/>
      <protection/>
    </xf>
    <xf numFmtId="180" fontId="4" fillId="0" borderId="0" xfId="55" applyNumberFormat="1">
      <alignment/>
      <protection/>
    </xf>
    <xf numFmtId="3" fontId="4" fillId="0" borderId="0" xfId="55" applyNumberFormat="1" applyAlignment="1">
      <alignment horizontal="center"/>
      <protection/>
    </xf>
    <xf numFmtId="3" fontId="4" fillId="0" borderId="10" xfId="55" applyNumberFormat="1" applyBorder="1">
      <alignment/>
      <protection/>
    </xf>
    <xf numFmtId="0" fontId="1" fillId="0" borderId="0" xfId="55" applyFont="1" applyAlignment="1">
      <alignment horizontal="right"/>
      <protection/>
    </xf>
    <xf numFmtId="0" fontId="4" fillId="0" borderId="0" xfId="56">
      <alignment/>
      <protection/>
    </xf>
    <xf numFmtId="173" fontId="4" fillId="0" borderId="0" xfId="56" applyNumberFormat="1">
      <alignment/>
      <protection/>
    </xf>
    <xf numFmtId="9" fontId="4" fillId="0" borderId="0" xfId="56" applyNumberFormat="1">
      <alignment/>
      <protection/>
    </xf>
    <xf numFmtId="0" fontId="4" fillId="0" borderId="0" xfId="57">
      <alignment/>
      <protection/>
    </xf>
    <xf numFmtId="173" fontId="4" fillId="0" borderId="0" xfId="57" applyNumberFormat="1">
      <alignment/>
      <protection/>
    </xf>
    <xf numFmtId="9" fontId="4" fillId="0" borderId="0" xfId="57" applyNumberFormat="1">
      <alignment/>
      <protection/>
    </xf>
    <xf numFmtId="0" fontId="1" fillId="0" borderId="0" xfId="57" applyFont="1" applyBorder="1">
      <alignment/>
      <protection/>
    </xf>
    <xf numFmtId="0" fontId="1" fillId="0" borderId="0" xfId="57" applyFont="1" applyAlignment="1">
      <alignment horizontal="center"/>
      <protection/>
    </xf>
    <xf numFmtId="173" fontId="1" fillId="0" borderId="0" xfId="57" applyNumberFormat="1" applyFont="1" applyAlignment="1">
      <alignment horizontal="center"/>
      <protection/>
    </xf>
    <xf numFmtId="9" fontId="1" fillId="0" borderId="0" xfId="57" applyNumberFormat="1" applyFont="1" applyAlignment="1">
      <alignment horizontal="center"/>
      <protection/>
    </xf>
    <xf numFmtId="0" fontId="1" fillId="0" borderId="0" xfId="57" applyFont="1">
      <alignment/>
      <protection/>
    </xf>
    <xf numFmtId="0" fontId="4" fillId="0" borderId="0" xfId="57" applyFont="1" applyAlignment="1">
      <alignment horizontal="center"/>
      <protection/>
    </xf>
    <xf numFmtId="173" fontId="4" fillId="0" borderId="0" xfId="57" applyNumberFormat="1" applyFont="1" applyAlignment="1">
      <alignment horizontal="center"/>
      <protection/>
    </xf>
    <xf numFmtId="9" fontId="4" fillId="0" borderId="0" xfId="57" applyNumberFormat="1" applyFont="1" applyAlignment="1">
      <alignment horizontal="center"/>
      <protection/>
    </xf>
    <xf numFmtId="1" fontId="4" fillId="0" borderId="0" xfId="57" applyNumberFormat="1" applyAlignment="1" quotePrefix="1">
      <alignment horizontal="center"/>
      <protection/>
    </xf>
    <xf numFmtId="173" fontId="4" fillId="0" borderId="0" xfId="57" applyNumberFormat="1" applyAlignment="1" quotePrefix="1">
      <alignment horizontal="center"/>
      <protection/>
    </xf>
    <xf numFmtId="9" fontId="4" fillId="0" borderId="0" xfId="57" applyNumberFormat="1" applyAlignment="1" quotePrefix="1">
      <alignment horizontal="center"/>
      <protection/>
    </xf>
    <xf numFmtId="9" fontId="4" fillId="0" borderId="0" xfId="57" applyNumberFormat="1" applyAlignment="1">
      <alignment horizontal="center"/>
      <protection/>
    </xf>
    <xf numFmtId="0" fontId="12" fillId="0" borderId="0" xfId="57" applyFont="1" applyAlignment="1">
      <alignment horizontal="right"/>
      <protection/>
    </xf>
    <xf numFmtId="3" fontId="4" fillId="0" borderId="0" xfId="57" applyNumberFormat="1">
      <alignment/>
      <protection/>
    </xf>
    <xf numFmtId="0" fontId="3" fillId="0" borderId="0" xfId="58" applyFont="1">
      <alignment/>
      <protection/>
    </xf>
    <xf numFmtId="0" fontId="4" fillId="0" borderId="0" xfId="58">
      <alignment/>
      <protection/>
    </xf>
    <xf numFmtId="173" fontId="4" fillId="0" borderId="0" xfId="58" applyNumberFormat="1">
      <alignment/>
      <protection/>
    </xf>
    <xf numFmtId="9" fontId="4" fillId="0" borderId="0" xfId="58" applyNumberFormat="1">
      <alignment/>
      <protection/>
    </xf>
    <xf numFmtId="173" fontId="1" fillId="0" borderId="0" xfId="58" applyNumberFormat="1" applyFont="1" applyAlignment="1">
      <alignment horizontal="center"/>
      <protection/>
    </xf>
    <xf numFmtId="9" fontId="1" fillId="0" borderId="0" xfId="58" applyNumberFormat="1" applyFont="1" applyAlignment="1">
      <alignment horizontal="center"/>
      <protection/>
    </xf>
    <xf numFmtId="0" fontId="1" fillId="0" borderId="0" xfId="58" applyFont="1" applyAlignment="1">
      <alignment horizontal="center"/>
      <protection/>
    </xf>
    <xf numFmtId="0" fontId="1" fillId="0" borderId="0" xfId="58" applyFont="1">
      <alignment/>
      <protection/>
    </xf>
    <xf numFmtId="173" fontId="4" fillId="0" borderId="0" xfId="58" applyNumberFormat="1" applyAlignment="1" quotePrefix="1">
      <alignment horizontal="center"/>
      <protection/>
    </xf>
    <xf numFmtId="9" fontId="4" fillId="0" borderId="0" xfId="58" applyNumberFormat="1" applyAlignment="1" quotePrefix="1">
      <alignment horizontal="center"/>
      <protection/>
    </xf>
    <xf numFmtId="1" fontId="4" fillId="0" borderId="0" xfId="58" applyNumberFormat="1" applyAlignment="1" quotePrefix="1">
      <alignment horizontal="center"/>
      <protection/>
    </xf>
    <xf numFmtId="0" fontId="4" fillId="0" borderId="0" xfId="58" applyAlignment="1">
      <alignment horizontal="right"/>
      <protection/>
    </xf>
    <xf numFmtId="0" fontId="12" fillId="0" borderId="0" xfId="58" applyFont="1" applyAlignment="1">
      <alignment horizontal="right"/>
      <protection/>
    </xf>
    <xf numFmtId="0" fontId="3" fillId="0" borderId="0" xfId="59" applyFont="1">
      <alignment/>
      <protection/>
    </xf>
    <xf numFmtId="0" fontId="4" fillId="0" borderId="0" xfId="59">
      <alignment/>
      <protection/>
    </xf>
    <xf numFmtId="173" fontId="4" fillId="0" borderId="0" xfId="59" applyNumberFormat="1">
      <alignment/>
      <protection/>
    </xf>
    <xf numFmtId="9" fontId="4" fillId="0" borderId="0" xfId="59" applyNumberFormat="1">
      <alignment/>
      <protection/>
    </xf>
    <xf numFmtId="173" fontId="1" fillId="0" borderId="0" xfId="59" applyNumberFormat="1" applyFont="1" applyAlignment="1">
      <alignment horizontal="center"/>
      <protection/>
    </xf>
    <xf numFmtId="9" fontId="1" fillId="0" borderId="0" xfId="59" applyNumberFormat="1" applyFont="1" applyAlignment="1">
      <alignment horizontal="center"/>
      <protection/>
    </xf>
    <xf numFmtId="0" fontId="1" fillId="0" borderId="0" xfId="59" applyFont="1">
      <alignment/>
      <protection/>
    </xf>
    <xf numFmtId="173" fontId="1" fillId="0" borderId="0" xfId="59" applyNumberFormat="1" applyFont="1" applyAlignment="1" quotePrefix="1">
      <alignment horizontal="center"/>
      <protection/>
    </xf>
    <xf numFmtId="173" fontId="1" fillId="0" borderId="0" xfId="59" applyNumberFormat="1" applyFont="1">
      <alignment/>
      <protection/>
    </xf>
    <xf numFmtId="173" fontId="4" fillId="0" borderId="0" xfId="59" applyNumberFormat="1" applyFont="1" applyAlignment="1">
      <alignment horizontal="center"/>
      <protection/>
    </xf>
    <xf numFmtId="9" fontId="4" fillId="0" borderId="0" xfId="59" applyNumberFormat="1" applyFont="1" applyAlignment="1">
      <alignment horizontal="center"/>
      <protection/>
    </xf>
    <xf numFmtId="173" fontId="4" fillId="0" borderId="0" xfId="59" applyNumberFormat="1" applyAlignment="1" quotePrefix="1">
      <alignment horizontal="center"/>
      <protection/>
    </xf>
    <xf numFmtId="9" fontId="4" fillId="0" borderId="0" xfId="59" applyNumberFormat="1" applyAlignment="1" quotePrefix="1">
      <alignment horizontal="center"/>
      <protection/>
    </xf>
    <xf numFmtId="1" fontId="4" fillId="0" borderId="0" xfId="59" applyNumberFormat="1" applyAlignment="1" quotePrefix="1">
      <alignment horizontal="center"/>
      <protection/>
    </xf>
    <xf numFmtId="0" fontId="4" fillId="0" borderId="0" xfId="59" applyAlignment="1">
      <alignment horizontal="right"/>
      <protection/>
    </xf>
    <xf numFmtId="0" fontId="12" fillId="0" borderId="0" xfId="59" applyFont="1" applyAlignment="1">
      <alignment horizontal="right"/>
      <protection/>
    </xf>
    <xf numFmtId="173" fontId="4" fillId="0" borderId="0" xfId="59" applyNumberFormat="1" applyAlignment="1">
      <alignment horizontal="right"/>
      <protection/>
    </xf>
    <xf numFmtId="3" fontId="4" fillId="0" borderId="0" xfId="59" applyNumberFormat="1">
      <alignment/>
      <protection/>
    </xf>
    <xf numFmtId="172" fontId="6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176" fontId="10" fillId="0" borderId="0" xfId="0" applyFont="1" applyAlignment="1">
      <alignment/>
    </xf>
    <xf numFmtId="3" fontId="10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10" fontId="10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/>
    </xf>
    <xf numFmtId="172" fontId="4" fillId="0" borderId="0" xfId="0" applyNumberFormat="1" applyFon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6" fontId="0" fillId="0" borderId="0" xfId="0" applyAlignment="1" applyProtection="1">
      <alignment/>
      <protection/>
    </xf>
    <xf numFmtId="172" fontId="6" fillId="0" borderId="0" xfId="0" applyNumberFormat="1" applyFont="1" applyAlignment="1" applyProtection="1">
      <alignment horizontal="left"/>
      <protection/>
    </xf>
    <xf numFmtId="3" fontId="6" fillId="0" borderId="0" xfId="0" applyNumberFormat="1" applyFont="1" applyAlignment="1" applyProtection="1">
      <alignment horizontal="left"/>
      <protection/>
    </xf>
    <xf numFmtId="172" fontId="6" fillId="0" borderId="0" xfId="0" applyNumberFormat="1" applyFont="1" applyAlignment="1" applyProtection="1">
      <alignment horizontal="right"/>
      <protection/>
    </xf>
    <xf numFmtId="172" fontId="6" fillId="0" borderId="0" xfId="0" applyNumberFormat="1" applyFont="1" applyAlignment="1" applyProtection="1">
      <alignment horizontal="fill"/>
      <protection/>
    </xf>
    <xf numFmtId="180" fontId="6" fillId="0" borderId="0" xfId="0" applyNumberFormat="1" applyFont="1" applyAlignment="1" applyProtection="1">
      <alignment/>
      <protection/>
    </xf>
    <xf numFmtId="179" fontId="4" fillId="0" borderId="0" xfId="0" applyNumberFormat="1" applyFont="1" applyAlignment="1" applyProtection="1">
      <alignment/>
      <protection/>
    </xf>
    <xf numFmtId="176" fontId="15" fillId="33" borderId="0" xfId="0" applyFont="1" applyFill="1" applyAlignment="1">
      <alignment/>
    </xf>
    <xf numFmtId="172" fontId="13" fillId="33" borderId="0" xfId="0" applyNumberFormat="1" applyFont="1" applyFill="1" applyAlignment="1" applyProtection="1" quotePrefix="1">
      <alignment horizontal="right"/>
      <protection locked="0"/>
    </xf>
    <xf numFmtId="3" fontId="3" fillId="33" borderId="0" xfId="0" applyNumberFormat="1" applyFont="1" applyFill="1" applyAlignment="1" applyProtection="1">
      <alignment horizontal="left"/>
      <protection locked="0"/>
    </xf>
    <xf numFmtId="3" fontId="13" fillId="33" borderId="0" xfId="0" applyNumberFormat="1" applyFont="1" applyFill="1" applyAlignment="1">
      <alignment/>
    </xf>
    <xf numFmtId="172" fontId="14" fillId="33" borderId="0" xfId="0" applyNumberFormat="1" applyFont="1" applyFill="1" applyAlignment="1" applyProtection="1">
      <alignment horizontal="center"/>
      <protection locked="0"/>
    </xf>
    <xf numFmtId="3" fontId="4" fillId="33" borderId="0" xfId="0" applyNumberFormat="1" applyFont="1" applyFill="1" applyAlignment="1" applyProtection="1">
      <alignment/>
      <protection/>
    </xf>
    <xf numFmtId="176" fontId="0" fillId="33" borderId="0" xfId="0" applyFill="1" applyAlignment="1" applyProtection="1">
      <alignment/>
      <protection/>
    </xf>
    <xf numFmtId="3" fontId="6" fillId="33" borderId="0" xfId="0" applyNumberFormat="1" applyFont="1" applyFill="1" applyAlignment="1" applyProtection="1">
      <alignment horizontal="left"/>
      <protection/>
    </xf>
    <xf numFmtId="3" fontId="5" fillId="33" borderId="0" xfId="0" applyNumberFormat="1" applyFont="1" applyFill="1" applyAlignment="1" applyProtection="1">
      <alignment horizontal="left"/>
      <protection/>
    </xf>
    <xf numFmtId="3" fontId="11" fillId="33" borderId="0" xfId="0" applyNumberFormat="1" applyFont="1" applyFill="1" applyAlignment="1" applyProtection="1">
      <alignment horizontal="left"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6" fillId="33" borderId="0" xfId="0" applyNumberFormat="1" applyFont="1" applyFill="1" applyBorder="1" applyAlignment="1" applyProtection="1">
      <alignment horizontal="left"/>
      <protection/>
    </xf>
    <xf numFmtId="3" fontId="11" fillId="33" borderId="0" xfId="0" applyNumberFormat="1" applyFont="1" applyFill="1" applyBorder="1" applyAlignment="1" applyProtection="1">
      <alignment horizontal="left"/>
      <protection/>
    </xf>
    <xf numFmtId="176" fontId="0" fillId="33" borderId="0" xfId="0" applyFill="1" applyBorder="1" applyAlignment="1" applyProtection="1">
      <alignment/>
      <protection/>
    </xf>
    <xf numFmtId="172" fontId="11" fillId="33" borderId="0" xfId="0" applyNumberFormat="1" applyFont="1" applyFill="1" applyAlignment="1" applyProtection="1">
      <alignment horizontal="center"/>
      <protection/>
    </xf>
    <xf numFmtId="172" fontId="16" fillId="33" borderId="0" xfId="0" applyNumberFormat="1" applyFont="1" applyFill="1" applyAlignment="1" applyProtection="1">
      <alignment horizontal="centerContinuous"/>
      <protection locked="0"/>
    </xf>
    <xf numFmtId="3" fontId="0" fillId="0" borderId="0" xfId="0" applyNumberFormat="1" applyAlignment="1" applyProtection="1">
      <alignment horizontal="centerContinuous"/>
      <protection locked="0"/>
    </xf>
    <xf numFmtId="176" fontId="0" fillId="0" borderId="0" xfId="0" applyAlignment="1" applyProtection="1">
      <alignment horizontal="centerContinuous"/>
      <protection locked="0"/>
    </xf>
    <xf numFmtId="172" fontId="0" fillId="0" borderId="0" xfId="0" applyNumberFormat="1" applyAlignment="1" applyProtection="1">
      <alignment horizontal="centerContinuous"/>
      <protection locked="0"/>
    </xf>
    <xf numFmtId="3" fontId="4" fillId="0" borderId="0" xfId="0" applyNumberFormat="1" applyFont="1" applyAlignment="1" applyProtection="1">
      <alignment horizontal="centerContinuous"/>
      <protection locked="0"/>
    </xf>
    <xf numFmtId="3" fontId="6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172" fontId="9" fillId="0" borderId="0" xfId="0" applyNumberFormat="1" applyFont="1" applyAlignment="1" applyProtection="1">
      <alignment/>
      <protection locked="0"/>
    </xf>
    <xf numFmtId="176" fontId="0" fillId="0" borderId="0" xfId="0" applyAlignment="1" applyProtection="1">
      <alignment/>
      <protection locked="0"/>
    </xf>
    <xf numFmtId="172" fontId="0" fillId="0" borderId="0" xfId="0" applyNumberFormat="1" applyAlignment="1" applyProtection="1">
      <alignment/>
      <protection locked="0"/>
    </xf>
    <xf numFmtId="172" fontId="4" fillId="0" borderId="0" xfId="0" applyNumberFormat="1" applyFont="1" applyAlignment="1" applyProtection="1">
      <alignment/>
      <protection locked="0"/>
    </xf>
    <xf numFmtId="172" fontId="4" fillId="0" borderId="0" xfId="0" applyNumberFormat="1" applyFont="1" applyAlignment="1" applyProtection="1">
      <alignment horizontal="centerContinuous"/>
      <protection locked="0"/>
    </xf>
    <xf numFmtId="172" fontId="1" fillId="0" borderId="0" xfId="0" applyNumberFormat="1" applyFont="1" applyAlignment="1" applyProtection="1">
      <alignment horizontal="centerContinuous"/>
      <protection locked="0"/>
    </xf>
    <xf numFmtId="172" fontId="9" fillId="0" borderId="0" xfId="0" applyNumberFormat="1" applyFont="1" applyAlignment="1" applyProtection="1">
      <alignment horizontal="centerContinuous"/>
      <protection locked="0"/>
    </xf>
    <xf numFmtId="172" fontId="6" fillId="0" borderId="0" xfId="0" applyNumberFormat="1" applyFont="1" applyAlignment="1" applyProtection="1">
      <alignment/>
      <protection locked="0"/>
    </xf>
    <xf numFmtId="172" fontId="0" fillId="0" borderId="0" xfId="0" applyNumberFormat="1" applyAlignment="1" applyProtection="1">
      <alignment/>
      <protection locked="0"/>
    </xf>
    <xf numFmtId="176" fontId="0" fillId="0" borderId="0" xfId="0" applyAlignment="1" applyProtection="1">
      <alignment/>
      <protection locked="0"/>
    </xf>
    <xf numFmtId="172" fontId="4" fillId="0" borderId="0" xfId="0" applyNumberFormat="1" applyFont="1" applyAlignment="1" applyProtection="1">
      <alignment/>
      <protection locked="0"/>
    </xf>
    <xf numFmtId="172" fontId="8" fillId="0" borderId="0" xfId="0" applyNumberFormat="1" applyFont="1" applyAlignment="1" applyProtection="1">
      <alignment horizontal="center"/>
      <protection locked="0"/>
    </xf>
    <xf numFmtId="10" fontId="6" fillId="33" borderId="0" xfId="0" applyNumberFormat="1" applyFont="1" applyFill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3" fontId="6" fillId="33" borderId="0" xfId="0" applyNumberFormat="1" applyFont="1" applyFill="1" applyAlignment="1">
      <alignment/>
    </xf>
    <xf numFmtId="172" fontId="11" fillId="33" borderId="0" xfId="0" applyNumberFormat="1" applyFont="1" applyFill="1" applyAlignment="1" applyProtection="1">
      <alignment horizontal="left"/>
      <protection locked="0"/>
    </xf>
    <xf numFmtId="172" fontId="11" fillId="33" borderId="0" xfId="0" applyNumberFormat="1" applyFont="1" applyFill="1" applyAlignment="1">
      <alignment/>
    </xf>
    <xf numFmtId="172" fontId="6" fillId="33" borderId="0" xfId="0" applyNumberFormat="1" applyFont="1" applyFill="1" applyAlignment="1" applyProtection="1">
      <alignment horizontal="left"/>
      <protection locked="0"/>
    </xf>
    <xf numFmtId="172" fontId="6" fillId="33" borderId="0" xfId="0" applyNumberFormat="1" applyFont="1" applyFill="1" applyAlignment="1">
      <alignment/>
    </xf>
    <xf numFmtId="3" fontId="11" fillId="33" borderId="0" xfId="0" applyNumberFormat="1" applyFont="1" applyFill="1" applyAlignment="1" applyProtection="1">
      <alignment horizontal="left"/>
      <protection locked="0"/>
    </xf>
    <xf numFmtId="3" fontId="11" fillId="33" borderId="0" xfId="0" applyNumberFormat="1" applyFont="1" applyFill="1" applyAlignment="1">
      <alignment/>
    </xf>
    <xf numFmtId="176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72" fontId="11" fillId="33" borderId="0" xfId="0" applyNumberFormat="1" applyFont="1" applyFill="1" applyAlignment="1" applyProtection="1">
      <alignment horizontal="right"/>
      <protection locked="0"/>
    </xf>
    <xf numFmtId="172" fontId="11" fillId="33" borderId="0" xfId="0" applyNumberFormat="1" applyFont="1" applyFill="1" applyAlignment="1" applyProtection="1">
      <alignment horizontal="center"/>
      <protection locked="0"/>
    </xf>
    <xf numFmtId="0" fontId="4" fillId="0" borderId="0" xfId="55" applyFont="1">
      <alignment/>
      <protection/>
    </xf>
    <xf numFmtId="0" fontId="4" fillId="0" borderId="0" xfId="55" applyFont="1" applyAlignment="1">
      <alignment horizontal="right"/>
      <protection/>
    </xf>
    <xf numFmtId="0" fontId="4" fillId="0" borderId="0" xfId="57" applyFont="1" applyAlignment="1">
      <alignment horizontal="right"/>
      <protection/>
    </xf>
    <xf numFmtId="0" fontId="4" fillId="0" borderId="0" xfId="57" applyFont="1">
      <alignment/>
      <protection/>
    </xf>
    <xf numFmtId="0" fontId="4" fillId="0" borderId="0" xfId="58" applyFont="1" applyAlignment="1">
      <alignment horizontal="right"/>
      <protection/>
    </xf>
    <xf numFmtId="0" fontId="4" fillId="0" borderId="0" xfId="58" applyFont="1">
      <alignment/>
      <protection/>
    </xf>
    <xf numFmtId="0" fontId="4" fillId="0" borderId="0" xfId="59" applyFont="1" applyAlignment="1">
      <alignment horizontal="right"/>
      <protection/>
    </xf>
    <xf numFmtId="9" fontId="18" fillId="0" borderId="0" xfId="57" applyNumberFormat="1" applyFont="1" applyAlignment="1">
      <alignment horizontal="left"/>
      <protection/>
    </xf>
    <xf numFmtId="9" fontId="1" fillId="0" borderId="0" xfId="57" applyNumberFormat="1" applyFont="1" applyAlignment="1">
      <alignment horizontal="left"/>
      <protection/>
    </xf>
    <xf numFmtId="9" fontId="1" fillId="0" borderId="0" xfId="57" applyNumberFormat="1" applyFont="1" applyAlignment="1" quotePrefix="1">
      <alignment horizontal="center"/>
      <protection/>
    </xf>
    <xf numFmtId="9" fontId="4" fillId="0" borderId="0" xfId="57" applyNumberFormat="1" applyFont="1" applyAlignment="1" quotePrefix="1">
      <alignment horizontal="center"/>
      <protection/>
    </xf>
    <xf numFmtId="173" fontId="4" fillId="0" borderId="0" xfId="57" applyNumberFormat="1" applyFont="1" applyAlignment="1" quotePrefix="1">
      <alignment horizontal="center"/>
      <protection/>
    </xf>
    <xf numFmtId="1" fontId="4" fillId="0" borderId="0" xfId="57" applyNumberFormat="1" applyFont="1" applyAlignment="1" quotePrefix="1">
      <alignment horizontal="center"/>
      <protection/>
    </xf>
    <xf numFmtId="3" fontId="4" fillId="0" borderId="0" xfId="58" applyNumberFormat="1">
      <alignment/>
      <protection/>
    </xf>
    <xf numFmtId="173" fontId="4" fillId="0" borderId="0" xfId="58" applyNumberFormat="1" applyFont="1" applyAlignment="1" quotePrefix="1">
      <alignment horizontal="center"/>
      <protection/>
    </xf>
    <xf numFmtId="1" fontId="4" fillId="0" borderId="0" xfId="58" applyNumberFormat="1" applyFont="1" applyAlignment="1" quotePrefix="1">
      <alignment horizontal="center"/>
      <protection/>
    </xf>
    <xf numFmtId="0" fontId="12" fillId="0" borderId="0" xfId="58" applyFont="1">
      <alignment/>
      <protection/>
    </xf>
    <xf numFmtId="173" fontId="12" fillId="0" borderId="0" xfId="58" applyNumberFormat="1" applyFont="1">
      <alignment/>
      <protection/>
    </xf>
    <xf numFmtId="9" fontId="12" fillId="0" borderId="0" xfId="58" applyNumberFormat="1" applyFont="1">
      <alignment/>
      <protection/>
    </xf>
    <xf numFmtId="3" fontId="12" fillId="0" borderId="0" xfId="58" applyNumberFormat="1" applyFont="1">
      <alignment/>
      <protection/>
    </xf>
    <xf numFmtId="173" fontId="19" fillId="0" borderId="0" xfId="59" applyNumberFormat="1" applyFont="1">
      <alignment/>
      <protection/>
    </xf>
    <xf numFmtId="9" fontId="20" fillId="0" borderId="0" xfId="59" applyNumberFormat="1" applyFont="1">
      <alignment/>
      <protection/>
    </xf>
    <xf numFmtId="0" fontId="4" fillId="0" borderId="0" xfId="56" applyFont="1" applyAlignment="1">
      <alignment horizontal="right"/>
      <protection/>
    </xf>
    <xf numFmtId="0" fontId="4" fillId="0" borderId="0" xfId="56" applyFont="1">
      <alignment/>
      <protection/>
    </xf>
    <xf numFmtId="3" fontId="4" fillId="0" borderId="0" xfId="56" applyNumberFormat="1">
      <alignment/>
      <protection/>
    </xf>
    <xf numFmtId="0" fontId="7" fillId="0" borderId="0" xfId="57" applyFont="1">
      <alignment/>
      <protection/>
    </xf>
    <xf numFmtId="173" fontId="17" fillId="0" borderId="0" xfId="57" applyNumberFormat="1" applyFont="1" applyAlignment="1">
      <alignment horizontal="centerContinuous"/>
      <protection/>
    </xf>
    <xf numFmtId="0" fontId="7" fillId="0" borderId="0" xfId="57" applyFont="1" applyAlignment="1">
      <alignment horizontal="centerContinuous"/>
      <protection/>
    </xf>
    <xf numFmtId="176" fontId="21" fillId="0" borderId="0" xfId="0" applyFont="1" applyAlignment="1">
      <alignment horizontal="centerContinuous"/>
    </xf>
    <xf numFmtId="173" fontId="9" fillId="0" borderId="0" xfId="57" applyNumberFormat="1" applyFont="1" applyAlignment="1">
      <alignment horizontal="centerContinuous"/>
      <protection/>
    </xf>
    <xf numFmtId="9" fontId="7" fillId="0" borderId="0" xfId="57" applyNumberFormat="1" applyFont="1" applyAlignment="1">
      <alignment horizontal="centerContinuous"/>
      <protection/>
    </xf>
    <xf numFmtId="173" fontId="7" fillId="0" borderId="0" xfId="57" applyNumberFormat="1" applyFont="1" applyAlignment="1">
      <alignment horizontal="centerContinuous"/>
      <protection/>
    </xf>
    <xf numFmtId="0" fontId="12" fillId="0" borderId="0" xfId="57" applyFont="1">
      <alignment/>
      <protection/>
    </xf>
    <xf numFmtId="0" fontId="12" fillId="0" borderId="0" xfId="58" applyFont="1" applyAlignment="1">
      <alignment horizontal="right"/>
      <protection/>
    </xf>
    <xf numFmtId="173" fontId="17" fillId="0" borderId="0" xfId="59" applyNumberFormat="1" applyFont="1" applyAlignment="1">
      <alignment horizontal="centerContinuous"/>
      <protection/>
    </xf>
    <xf numFmtId="0" fontId="4" fillId="0" borderId="0" xfId="59" applyAlignment="1">
      <alignment horizontal="centerContinuous"/>
      <protection/>
    </xf>
    <xf numFmtId="173" fontId="4" fillId="0" borderId="0" xfId="59" applyNumberFormat="1" applyAlignment="1">
      <alignment horizontal="centerContinuous"/>
      <protection/>
    </xf>
    <xf numFmtId="176" fontId="0" fillId="0" borderId="0" xfId="0" applyAlignment="1">
      <alignment horizontal="centerContinuous"/>
    </xf>
    <xf numFmtId="9" fontId="4" fillId="0" borderId="0" xfId="59" applyNumberFormat="1" applyAlignment="1">
      <alignment horizontal="centerContinuous"/>
      <protection/>
    </xf>
    <xf numFmtId="0" fontId="4" fillId="0" borderId="0" xfId="59" applyFont="1">
      <alignment/>
      <protection/>
    </xf>
    <xf numFmtId="0" fontId="12" fillId="0" borderId="0" xfId="59" applyFont="1">
      <alignment/>
      <protection/>
    </xf>
    <xf numFmtId="176" fontId="1" fillId="0" borderId="0" xfId="0" applyFont="1" applyAlignment="1">
      <alignment/>
    </xf>
    <xf numFmtId="176" fontId="12" fillId="0" borderId="0" xfId="0" applyFont="1" applyAlignment="1">
      <alignment/>
    </xf>
    <xf numFmtId="173" fontId="4" fillId="0" borderId="0" xfId="58" applyNumberFormat="1" applyFont="1">
      <alignment/>
      <protection/>
    </xf>
    <xf numFmtId="9" fontId="4" fillId="0" borderId="0" xfId="57" applyNumberFormat="1" applyFont="1">
      <alignment/>
      <protection/>
    </xf>
    <xf numFmtId="3" fontId="4" fillId="0" borderId="0" xfId="57" applyNumberFormat="1" applyFont="1">
      <alignment/>
      <protection/>
    </xf>
    <xf numFmtId="176" fontId="4" fillId="33" borderId="0" xfId="0" applyFont="1" applyFill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22" fillId="33" borderId="0" xfId="0" applyNumberFormat="1" applyFont="1" applyFill="1" applyAlignment="1" applyProtection="1">
      <alignment horizontal="left"/>
      <protection/>
    </xf>
    <xf numFmtId="176" fontId="23" fillId="0" borderId="0" xfId="0" applyFont="1" applyAlignment="1">
      <alignment/>
    </xf>
    <xf numFmtId="177" fontId="4" fillId="33" borderId="0" xfId="0" applyNumberFormat="1" applyFont="1" applyFill="1" applyAlignment="1" applyProtection="1" quotePrefix="1">
      <alignment horizontal="right"/>
      <protection/>
    </xf>
    <xf numFmtId="3" fontId="11" fillId="33" borderId="0" xfId="0" applyNumberFormat="1" applyFont="1" applyFill="1" applyAlignment="1" applyProtection="1">
      <alignment horizontal="right"/>
      <protection/>
    </xf>
    <xf numFmtId="0" fontId="24" fillId="0" borderId="0" xfId="55" applyFont="1">
      <alignment/>
      <protection/>
    </xf>
    <xf numFmtId="173" fontId="4" fillId="0" borderId="0" xfId="59" applyNumberFormat="1" applyFont="1" applyAlignment="1" quotePrefix="1">
      <alignment horizontal="center"/>
      <protection/>
    </xf>
    <xf numFmtId="173" fontId="4" fillId="0" borderId="0" xfId="57" applyNumberFormat="1" applyFont="1">
      <alignment/>
      <protection/>
    </xf>
    <xf numFmtId="180" fontId="4" fillId="0" borderId="0" xfId="57" applyNumberFormat="1">
      <alignment/>
      <protection/>
    </xf>
    <xf numFmtId="173" fontId="4" fillId="0" borderId="0" xfId="58" applyNumberFormat="1" applyFont="1" applyAlignment="1">
      <alignment horizontal="center"/>
      <protection/>
    </xf>
    <xf numFmtId="1" fontId="4" fillId="0" borderId="0" xfId="58" applyNumberFormat="1" applyFont="1" applyAlignment="1">
      <alignment horizontal="center"/>
      <protection/>
    </xf>
    <xf numFmtId="176" fontId="0" fillId="0" borderId="10" xfId="0" applyBorder="1" applyAlignment="1">
      <alignment/>
    </xf>
    <xf numFmtId="9" fontId="4" fillId="0" borderId="10" xfId="58" applyNumberFormat="1" applyBorder="1">
      <alignment/>
      <protection/>
    </xf>
    <xf numFmtId="173" fontId="1" fillId="0" borderId="10" xfId="58" applyNumberFormat="1" applyFont="1" applyBorder="1">
      <alignment/>
      <protection/>
    </xf>
    <xf numFmtId="173" fontId="4" fillId="0" borderId="10" xfId="58" applyNumberFormat="1" applyBorder="1">
      <alignment/>
      <protection/>
    </xf>
    <xf numFmtId="0" fontId="1" fillId="0" borderId="10" xfId="59" applyFont="1" applyBorder="1">
      <alignment/>
      <protection/>
    </xf>
    <xf numFmtId="0" fontId="4" fillId="0" borderId="10" xfId="59" applyBorder="1">
      <alignment/>
      <protection/>
    </xf>
    <xf numFmtId="173" fontId="1" fillId="0" borderId="10" xfId="58" applyNumberFormat="1" applyFont="1" applyBorder="1" applyAlignment="1">
      <alignment/>
      <protection/>
    </xf>
    <xf numFmtId="180" fontId="4" fillId="0" borderId="0" xfId="58" applyNumberFormat="1">
      <alignment/>
      <protection/>
    </xf>
    <xf numFmtId="176" fontId="1" fillId="0" borderId="0" xfId="0" applyFont="1" applyAlignment="1">
      <alignment/>
    </xf>
    <xf numFmtId="3" fontId="4" fillId="0" borderId="0" xfId="58" applyNumberFormat="1" applyFont="1">
      <alignment/>
      <protection/>
    </xf>
    <xf numFmtId="176" fontId="4" fillId="0" borderId="0" xfId="0" applyFont="1" applyAlignment="1">
      <alignment/>
    </xf>
    <xf numFmtId="180" fontId="6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3" fontId="6" fillId="33" borderId="0" xfId="0" applyNumberFormat="1" applyFont="1" applyFill="1" applyAlignment="1">
      <alignment/>
    </xf>
    <xf numFmtId="3" fontId="26" fillId="33" borderId="0" xfId="0" applyNumberFormat="1" applyFont="1" applyFill="1" applyAlignment="1">
      <alignment/>
    </xf>
    <xf numFmtId="3" fontId="28" fillId="33" borderId="0" xfId="0" applyNumberFormat="1" applyFont="1" applyFill="1" applyAlignment="1">
      <alignment/>
    </xf>
    <xf numFmtId="3" fontId="24" fillId="0" borderId="0" xfId="0" applyNumberFormat="1" applyFont="1" applyAlignment="1">
      <alignment/>
    </xf>
    <xf numFmtId="172" fontId="24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172" fontId="12" fillId="0" borderId="0" xfId="0" applyNumberFormat="1" applyFont="1" applyAlignment="1">
      <alignment/>
    </xf>
    <xf numFmtId="176" fontId="27" fillId="0" borderId="0" xfId="0" applyFont="1" applyAlignment="1">
      <alignment/>
    </xf>
    <xf numFmtId="3" fontId="29" fillId="33" borderId="0" xfId="0" applyNumberFormat="1" applyFont="1" applyFill="1" applyAlignment="1">
      <alignment/>
    </xf>
    <xf numFmtId="3" fontId="22" fillId="0" borderId="0" xfId="0" applyNumberFormat="1" applyFont="1" applyAlignment="1" applyProtection="1">
      <alignment/>
      <protection/>
    </xf>
    <xf numFmtId="172" fontId="24" fillId="0" borderId="0" xfId="0" applyNumberFormat="1" applyFont="1" applyAlignment="1" applyProtection="1">
      <alignment/>
      <protection/>
    </xf>
    <xf numFmtId="176" fontId="23" fillId="0" borderId="0" xfId="0" applyFont="1" applyAlignment="1" applyProtection="1">
      <alignment/>
      <protection/>
    </xf>
    <xf numFmtId="172" fontId="23" fillId="0" borderId="0" xfId="0" applyNumberFormat="1" applyFont="1" applyAlignment="1" applyProtection="1">
      <alignment/>
      <protection/>
    </xf>
    <xf numFmtId="3" fontId="24" fillId="33" borderId="0" xfId="0" applyNumberFormat="1" applyFont="1" applyFill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3" fontId="30" fillId="0" borderId="0" xfId="0" applyNumberFormat="1" applyFont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 horizontal="center"/>
      <protection/>
    </xf>
    <xf numFmtId="172" fontId="13" fillId="33" borderId="0" xfId="0" applyNumberFormat="1" applyFont="1" applyFill="1" applyAlignment="1" applyProtection="1" quotePrefix="1">
      <alignment horizontal="center"/>
      <protection locked="0"/>
    </xf>
    <xf numFmtId="176" fontId="0" fillId="33" borderId="0" xfId="0" applyFill="1" applyAlignment="1" applyProtection="1">
      <alignment horizontal="center"/>
      <protection/>
    </xf>
    <xf numFmtId="172" fontId="30" fillId="0" borderId="0" xfId="0" applyNumberFormat="1" applyFont="1" applyAlignment="1" applyProtection="1">
      <alignment/>
      <protection/>
    </xf>
    <xf numFmtId="3" fontId="31" fillId="33" borderId="0" xfId="0" applyNumberFormat="1" applyFont="1" applyFill="1" applyBorder="1" applyAlignment="1" applyProtection="1">
      <alignment horizontal="right"/>
      <protection/>
    </xf>
    <xf numFmtId="3" fontId="11" fillId="33" borderId="0" xfId="0" applyNumberFormat="1" applyFont="1" applyFill="1" applyBorder="1" applyAlignment="1" applyProtection="1">
      <alignment horizontal="left"/>
      <protection/>
    </xf>
    <xf numFmtId="172" fontId="33" fillId="0" borderId="0" xfId="0" applyNumberFormat="1" applyFont="1" applyAlignment="1">
      <alignment/>
    </xf>
    <xf numFmtId="172" fontId="30" fillId="0" borderId="0" xfId="0" applyNumberFormat="1" applyFont="1" applyAlignment="1">
      <alignment/>
    </xf>
    <xf numFmtId="172" fontId="30" fillId="0" borderId="0" xfId="0" applyNumberFormat="1" applyFont="1" applyAlignment="1" applyProtection="1">
      <alignment horizontal="left"/>
      <protection locked="0"/>
    </xf>
    <xf numFmtId="172" fontId="35" fillId="0" borderId="0" xfId="0" applyNumberFormat="1" applyFont="1" applyAlignment="1">
      <alignment/>
    </xf>
    <xf numFmtId="172" fontId="36" fillId="0" borderId="0" xfId="0" applyNumberFormat="1" applyFont="1" applyAlignment="1">
      <alignment/>
    </xf>
    <xf numFmtId="172" fontId="37" fillId="0" borderId="0" xfId="0" applyNumberFormat="1" applyFont="1" applyAlignment="1">
      <alignment/>
    </xf>
    <xf numFmtId="176" fontId="33" fillId="0" borderId="0" xfId="0" applyFont="1" applyAlignment="1">
      <alignment/>
    </xf>
    <xf numFmtId="3" fontId="38" fillId="0" borderId="0" xfId="0" applyNumberFormat="1" applyFont="1" applyAlignment="1" applyProtection="1">
      <alignment/>
      <protection locked="0"/>
    </xf>
    <xf numFmtId="3" fontId="38" fillId="0" borderId="0" xfId="0" applyNumberFormat="1" applyFont="1" applyAlignment="1" applyProtection="1">
      <alignment/>
      <protection/>
    </xf>
    <xf numFmtId="3" fontId="4" fillId="33" borderId="0" xfId="0" applyNumberFormat="1" applyFont="1" applyFill="1" applyAlignment="1" applyProtection="1">
      <alignment horizontal="center"/>
      <protection/>
    </xf>
    <xf numFmtId="3" fontId="6" fillId="33" borderId="0" xfId="0" applyNumberFormat="1" applyFont="1" applyFill="1" applyAlignment="1" applyProtection="1">
      <alignment horizontal="left"/>
      <protection/>
    </xf>
    <xf numFmtId="3" fontId="31" fillId="33" borderId="0" xfId="0" applyNumberFormat="1" applyFont="1" applyFill="1" applyAlignment="1" applyProtection="1">
      <alignment horizontal="right"/>
      <protection/>
    </xf>
    <xf numFmtId="3" fontId="11" fillId="33" borderId="0" xfId="0" applyNumberFormat="1" applyFont="1" applyFill="1" applyAlignment="1" applyProtection="1">
      <alignment horizontal="left"/>
      <protection/>
    </xf>
    <xf numFmtId="180" fontId="30" fillId="0" borderId="0" xfId="0" applyNumberFormat="1" applyFont="1" applyAlignment="1" applyProtection="1">
      <alignment/>
      <protection/>
    </xf>
    <xf numFmtId="3" fontId="14" fillId="33" borderId="0" xfId="0" applyNumberFormat="1" applyFont="1" applyFill="1" applyAlignment="1" applyProtection="1">
      <alignment horizontal="center"/>
      <protection/>
    </xf>
    <xf numFmtId="172" fontId="14" fillId="33" borderId="0" xfId="0" applyNumberFormat="1" applyFont="1" applyFill="1" applyAlignment="1" applyProtection="1">
      <alignment horizontal="center"/>
      <protection/>
    </xf>
    <xf numFmtId="3" fontId="13" fillId="33" borderId="0" xfId="0" applyNumberFormat="1" applyFont="1" applyFill="1" applyAlignment="1" applyProtection="1">
      <alignment horizontal="center"/>
      <protection/>
    </xf>
    <xf numFmtId="3" fontId="13" fillId="33" borderId="0" xfId="0" applyNumberFormat="1" applyFont="1" applyFill="1" applyAlignment="1" applyProtection="1" quotePrefix="1">
      <alignment horizontal="center"/>
      <protection/>
    </xf>
    <xf numFmtId="172" fontId="13" fillId="33" borderId="0" xfId="0" applyNumberFormat="1" applyFont="1" applyFill="1" applyAlignment="1" applyProtection="1" quotePrefix="1">
      <alignment horizontal="center"/>
      <protection/>
    </xf>
    <xf numFmtId="172" fontId="13" fillId="33" borderId="0" xfId="0" applyNumberFormat="1" applyFont="1" applyFill="1" applyAlignment="1" applyProtection="1">
      <alignment horizontal="center"/>
      <protection/>
    </xf>
    <xf numFmtId="49" fontId="13" fillId="33" borderId="0" xfId="0" applyNumberFormat="1" applyFont="1" applyFill="1" applyAlignment="1" applyProtection="1">
      <alignment horizontal="center"/>
      <protection/>
    </xf>
    <xf numFmtId="176" fontId="13" fillId="33" borderId="0" xfId="0" applyFont="1" applyFill="1" applyAlignment="1" applyProtection="1" quotePrefix="1">
      <alignment horizontal="center"/>
      <protection/>
    </xf>
    <xf numFmtId="3" fontId="0" fillId="33" borderId="0" xfId="0" applyNumberFormat="1" applyFont="1" applyFill="1" applyAlignment="1" applyProtection="1">
      <alignment/>
      <protection/>
    </xf>
    <xf numFmtId="172" fontId="30" fillId="0" borderId="0" xfId="0" applyNumberFormat="1" applyFont="1" applyAlignment="1" applyProtection="1">
      <alignment/>
      <protection/>
    </xf>
    <xf numFmtId="3" fontId="13" fillId="33" borderId="0" xfId="0" applyNumberFormat="1" applyFont="1" applyFill="1" applyAlignment="1" applyProtection="1">
      <alignment/>
      <protection/>
    </xf>
    <xf numFmtId="172" fontId="34" fillId="33" borderId="0" xfId="0" applyNumberFormat="1" applyFont="1" applyFill="1" applyAlignment="1" applyProtection="1">
      <alignment horizontal="center"/>
      <protection/>
    </xf>
    <xf numFmtId="3" fontId="13" fillId="33" borderId="0" xfId="0" applyNumberFormat="1" applyFont="1" applyFill="1" applyAlignment="1" applyProtection="1">
      <alignment horizontal="left"/>
      <protection/>
    </xf>
    <xf numFmtId="49" fontId="13" fillId="33" borderId="0" xfId="0" applyNumberFormat="1" applyFont="1" applyFill="1" applyAlignment="1" applyProtection="1">
      <alignment horizontal="center"/>
      <protection/>
    </xf>
    <xf numFmtId="49" fontId="30" fillId="33" borderId="0" xfId="0" applyNumberFormat="1" applyFont="1" applyFill="1" applyAlignment="1" applyProtection="1">
      <alignment horizontal="center"/>
      <protection/>
    </xf>
    <xf numFmtId="172" fontId="33" fillId="0" borderId="0" xfId="0" applyNumberFormat="1" applyFont="1" applyAlignment="1" applyProtection="1">
      <alignment/>
      <protection/>
    </xf>
    <xf numFmtId="3" fontId="14" fillId="33" borderId="0" xfId="0" applyNumberFormat="1" applyFont="1" applyFill="1" applyAlignment="1" applyProtection="1">
      <alignment horizontal="left"/>
      <protection/>
    </xf>
    <xf numFmtId="3" fontId="32" fillId="33" borderId="0" xfId="0" applyNumberFormat="1" applyFont="1" applyFill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3" fontId="13" fillId="33" borderId="0" xfId="0" applyNumberFormat="1" applyFont="1" applyFill="1" applyAlignment="1" applyProtection="1">
      <alignment horizontal="left"/>
      <protection/>
    </xf>
    <xf numFmtId="3" fontId="32" fillId="33" borderId="0" xfId="0" applyNumberFormat="1" applyFont="1" applyFill="1" applyAlignment="1" applyProtection="1">
      <alignment horizontal="left"/>
      <protection/>
    </xf>
    <xf numFmtId="3" fontId="13" fillId="33" borderId="0" xfId="0" applyNumberFormat="1" applyFont="1" applyFill="1" applyAlignment="1" applyProtection="1">
      <alignment/>
      <protection/>
    </xf>
    <xf numFmtId="3" fontId="14" fillId="33" borderId="0" xfId="0" applyNumberFormat="1" applyFont="1" applyFill="1" applyAlignment="1" applyProtection="1">
      <alignment horizontal="left"/>
      <protection/>
    </xf>
    <xf numFmtId="3" fontId="14" fillId="33" borderId="0" xfId="0" applyNumberFormat="1" applyFont="1" applyFill="1" applyAlignment="1" applyProtection="1">
      <alignment/>
      <protection/>
    </xf>
    <xf numFmtId="3" fontId="40" fillId="33" borderId="0" xfId="0" applyNumberFormat="1" applyFont="1" applyFill="1" applyAlignment="1" applyProtection="1">
      <alignment horizontal="right"/>
      <protection/>
    </xf>
    <xf numFmtId="172" fontId="6" fillId="33" borderId="0" xfId="0" applyNumberFormat="1" applyFont="1" applyFill="1" applyAlignment="1" applyProtection="1">
      <alignment horizontal="center"/>
      <protection locked="0"/>
    </xf>
    <xf numFmtId="176" fontId="10" fillId="33" borderId="0" xfId="0" applyFont="1" applyFill="1" applyAlignment="1">
      <alignment horizontal="center"/>
    </xf>
    <xf numFmtId="3" fontId="30" fillId="0" borderId="0" xfId="0" applyNumberFormat="1" applyFont="1" applyAlignment="1">
      <alignment/>
    </xf>
    <xf numFmtId="0" fontId="4" fillId="0" borderId="0" xfId="55" applyAlignment="1" applyProtection="1">
      <alignment horizontal="right"/>
      <protection/>
    </xf>
    <xf numFmtId="0" fontId="4" fillId="0" borderId="0" xfId="55" applyProtection="1">
      <alignment/>
      <protection/>
    </xf>
    <xf numFmtId="0" fontId="25" fillId="0" borderId="0" xfId="55" applyFont="1" applyAlignment="1" applyProtection="1">
      <alignment horizontal="center"/>
      <protection/>
    </xf>
    <xf numFmtId="3" fontId="4" fillId="0" borderId="0" xfId="55" applyNumberFormat="1" applyProtection="1">
      <alignment/>
      <protection/>
    </xf>
    <xf numFmtId="0" fontId="9" fillId="0" borderId="0" xfId="55" applyFont="1" applyAlignment="1" applyProtection="1">
      <alignment horizontal="center"/>
      <protection/>
    </xf>
    <xf numFmtId="3" fontId="1" fillId="0" borderId="0" xfId="55" applyNumberFormat="1" applyFont="1" applyAlignment="1" applyProtection="1">
      <alignment horizontal="right"/>
      <protection/>
    </xf>
    <xf numFmtId="0" fontId="1" fillId="0" borderId="0" xfId="55" applyFont="1" applyProtection="1">
      <alignment/>
      <protection/>
    </xf>
    <xf numFmtId="0" fontId="1" fillId="0" borderId="0" xfId="55" applyFont="1" applyAlignment="1" applyProtection="1">
      <alignment horizontal="center"/>
      <protection/>
    </xf>
    <xf numFmtId="3" fontId="1" fillId="0" borderId="0" xfId="55" applyNumberFormat="1" applyFont="1" applyAlignment="1" applyProtection="1" quotePrefix="1">
      <alignment horizontal="right"/>
      <protection/>
    </xf>
    <xf numFmtId="0" fontId="1" fillId="0" borderId="0" xfId="55" applyNumberFormat="1" applyFont="1" applyAlignment="1" applyProtection="1">
      <alignment horizontal="center"/>
      <protection/>
    </xf>
    <xf numFmtId="3" fontId="4" fillId="0" borderId="0" xfId="55" applyNumberFormat="1" applyAlignment="1" applyProtection="1">
      <alignment horizontal="right"/>
      <protection/>
    </xf>
    <xf numFmtId="0" fontId="4" fillId="0" borderId="0" xfId="55" applyAlignment="1" applyProtection="1">
      <alignment horizontal="center"/>
      <protection/>
    </xf>
    <xf numFmtId="180" fontId="4" fillId="0" borderId="0" xfId="55" applyNumberFormat="1" applyProtection="1">
      <alignment/>
      <protection/>
    </xf>
    <xf numFmtId="0" fontId="4" fillId="0" borderId="0" xfId="55" applyFont="1" applyAlignment="1" applyProtection="1">
      <alignment horizontal="right"/>
      <protection/>
    </xf>
    <xf numFmtId="0" fontId="4" fillId="0" borderId="0" xfId="55" applyFont="1" applyProtection="1">
      <alignment/>
      <protection/>
    </xf>
    <xf numFmtId="172" fontId="11" fillId="33" borderId="0" xfId="0" applyNumberFormat="1" applyFont="1" applyFill="1" applyAlignment="1" applyProtection="1">
      <alignment horizontal="left"/>
      <protection/>
    </xf>
    <xf numFmtId="176" fontId="10" fillId="0" borderId="0" xfId="0" applyFont="1" applyAlignment="1" applyProtection="1">
      <alignment/>
      <protection/>
    </xf>
    <xf numFmtId="3" fontId="10" fillId="33" borderId="0" xfId="0" applyNumberFormat="1" applyFont="1" applyFill="1" applyAlignment="1" applyProtection="1">
      <alignment/>
      <protection/>
    </xf>
    <xf numFmtId="172" fontId="10" fillId="0" borderId="0" xfId="0" applyNumberFormat="1" applyFont="1" applyAlignment="1" applyProtection="1">
      <alignment/>
      <protection/>
    </xf>
    <xf numFmtId="3" fontId="6" fillId="33" borderId="0" xfId="0" applyNumberFormat="1" applyFont="1" applyFill="1" applyAlignment="1" applyProtection="1">
      <alignment/>
      <protection/>
    </xf>
    <xf numFmtId="172" fontId="11" fillId="33" borderId="0" xfId="0" applyNumberFormat="1" applyFont="1" applyFill="1" applyAlignment="1" applyProtection="1">
      <alignment horizontal="right"/>
      <protection/>
    </xf>
    <xf numFmtId="3" fontId="6" fillId="33" borderId="0" xfId="0" applyNumberFormat="1" applyFont="1" applyFill="1" applyAlignment="1" applyProtection="1">
      <alignment horizontal="center"/>
      <protection/>
    </xf>
    <xf numFmtId="172" fontId="6" fillId="33" borderId="0" xfId="0" applyNumberFormat="1" applyFont="1" applyFill="1" applyAlignment="1" applyProtection="1">
      <alignment horizontal="center"/>
      <protection/>
    </xf>
    <xf numFmtId="172" fontId="31" fillId="33" borderId="0" xfId="0" applyNumberFormat="1" applyFont="1" applyFill="1" applyAlignment="1" applyProtection="1">
      <alignment horizontal="right"/>
      <protection/>
    </xf>
    <xf numFmtId="10" fontId="6" fillId="0" borderId="0" xfId="0" applyNumberFormat="1" applyFont="1" applyAlignment="1" applyProtection="1">
      <alignment/>
      <protection/>
    </xf>
    <xf numFmtId="172" fontId="6" fillId="33" borderId="0" xfId="0" applyNumberFormat="1" applyFont="1" applyFill="1" applyAlignment="1" applyProtection="1">
      <alignment horizontal="left"/>
      <protection/>
    </xf>
    <xf numFmtId="172" fontId="6" fillId="33" borderId="0" xfId="0" applyNumberFormat="1" applyFont="1" applyFill="1" applyAlignment="1" applyProtection="1">
      <alignment/>
      <protection/>
    </xf>
    <xf numFmtId="172" fontId="11" fillId="33" borderId="0" xfId="0" applyNumberFormat="1" applyFont="1" applyFill="1" applyAlignment="1" applyProtection="1">
      <alignment/>
      <protection/>
    </xf>
    <xf numFmtId="172" fontId="11" fillId="33" borderId="0" xfId="0" applyNumberFormat="1" applyFont="1" applyFill="1" applyAlignment="1" applyProtection="1">
      <alignment/>
      <protection/>
    </xf>
    <xf numFmtId="172" fontId="11" fillId="33" borderId="0" xfId="0" applyNumberFormat="1" applyFont="1" applyFill="1" applyAlignment="1" applyProtection="1">
      <alignment horizontal="left"/>
      <protection/>
    </xf>
    <xf numFmtId="3" fontId="11" fillId="33" borderId="0" xfId="0" applyNumberFormat="1" applyFont="1" applyFill="1" applyAlignment="1" applyProtection="1">
      <alignment/>
      <protection/>
    </xf>
    <xf numFmtId="3" fontId="41" fillId="33" borderId="0" xfId="0" applyNumberFormat="1" applyFont="1" applyFill="1" applyAlignment="1" applyProtection="1">
      <alignment horizontal="left"/>
      <protection/>
    </xf>
    <xf numFmtId="3" fontId="42" fillId="33" borderId="0" xfId="0" applyNumberFormat="1" applyFont="1" applyFill="1" applyAlignment="1" applyProtection="1">
      <alignment/>
      <protection/>
    </xf>
    <xf numFmtId="176" fontId="10" fillId="33" borderId="0" xfId="0" applyFont="1" applyFill="1" applyAlignment="1" applyProtection="1">
      <alignment/>
      <protection/>
    </xf>
    <xf numFmtId="3" fontId="1" fillId="0" borderId="0" xfId="55" applyNumberFormat="1" applyFont="1" applyAlignment="1">
      <alignment horizontal="center"/>
      <protection/>
    </xf>
    <xf numFmtId="3" fontId="1" fillId="0" borderId="0" xfId="55" applyNumberFormat="1" applyFont="1" applyAlignment="1" quotePrefix="1">
      <alignment horizontal="center"/>
      <protection/>
    </xf>
    <xf numFmtId="3" fontId="14" fillId="33" borderId="0" xfId="0" applyNumberFormat="1" applyFont="1" applyFill="1" applyAlignment="1" applyProtection="1">
      <alignment horizontal="left"/>
      <protection locked="0"/>
    </xf>
    <xf numFmtId="3" fontId="3" fillId="33" borderId="0" xfId="0" applyNumberFormat="1" applyFont="1" applyFill="1" applyAlignment="1" applyProtection="1">
      <alignment horizontal="left"/>
      <protection/>
    </xf>
    <xf numFmtId="3" fontId="0" fillId="33" borderId="0" xfId="0" applyNumberFormat="1" applyFont="1" applyFill="1" applyAlignment="1" applyProtection="1">
      <alignment horizontal="right"/>
      <protection/>
    </xf>
    <xf numFmtId="176" fontId="15" fillId="33" borderId="0" xfId="0" applyFont="1" applyFill="1" applyAlignment="1" applyProtection="1">
      <alignment/>
      <protection/>
    </xf>
    <xf numFmtId="49" fontId="15" fillId="33" borderId="0" xfId="0" applyNumberFormat="1" applyFont="1" applyFill="1" applyAlignment="1" applyProtection="1">
      <alignment horizontal="center"/>
      <protection/>
    </xf>
    <xf numFmtId="181" fontId="6" fillId="0" borderId="0" xfId="0" applyNumberFormat="1" applyFont="1" applyAlignment="1" applyProtection="1">
      <alignment/>
      <protection locked="0"/>
    </xf>
    <xf numFmtId="181" fontId="0" fillId="0" borderId="0" xfId="0" applyNumberFormat="1" applyAlignment="1" applyProtection="1">
      <alignment/>
      <protection/>
    </xf>
    <xf numFmtId="180" fontId="4" fillId="0" borderId="10" xfId="55" applyNumberFormat="1" applyBorder="1">
      <alignment/>
      <protection/>
    </xf>
    <xf numFmtId="10" fontId="30" fillId="0" borderId="0" xfId="0" applyNumberFormat="1" applyFont="1" applyAlignment="1" applyProtection="1">
      <alignment/>
      <protection/>
    </xf>
    <xf numFmtId="189" fontId="30" fillId="0" borderId="0" xfId="0" applyNumberFormat="1" applyFont="1" applyAlignment="1" applyProtection="1">
      <alignment/>
      <protection/>
    </xf>
    <xf numFmtId="176" fontId="4" fillId="0" borderId="0" xfId="0" applyFont="1" applyAlignment="1" applyProtection="1">
      <alignment/>
      <protection/>
    </xf>
    <xf numFmtId="176" fontId="24" fillId="0" borderId="0" xfId="0" applyFont="1" applyAlignment="1" applyProtection="1">
      <alignment/>
      <protection/>
    </xf>
    <xf numFmtId="172" fontId="4" fillId="0" borderId="0" xfId="0" applyNumberFormat="1" applyFont="1" applyAlignment="1" applyProtection="1">
      <alignment/>
      <protection/>
    </xf>
    <xf numFmtId="3" fontId="22" fillId="33" borderId="0" xfId="0" applyNumberFormat="1" applyFont="1" applyFill="1" applyAlignment="1" applyProtection="1">
      <alignment horizontal="left"/>
      <protection/>
    </xf>
    <xf numFmtId="3" fontId="24" fillId="33" borderId="0" xfId="0" applyNumberFormat="1" applyFont="1" applyFill="1" applyAlignment="1" applyProtection="1">
      <alignment/>
      <protection/>
    </xf>
    <xf numFmtId="172" fontId="6" fillId="0" borderId="0" xfId="0" applyNumberFormat="1" applyFont="1" applyAlignment="1" applyProtection="1">
      <alignment horizontal="right"/>
      <protection/>
    </xf>
    <xf numFmtId="3" fontId="6" fillId="33" borderId="0" xfId="0" applyNumberFormat="1" applyFont="1" applyFill="1" applyAlignment="1" applyProtection="1">
      <alignment horizontal="left" vertical="top" wrapText="1"/>
      <protection/>
    </xf>
    <xf numFmtId="3" fontId="1" fillId="0" borderId="0" xfId="0" applyNumberFormat="1" applyFont="1" applyAlignment="1" applyProtection="1">
      <alignment horizontal="left"/>
      <protection/>
    </xf>
    <xf numFmtId="176" fontId="4" fillId="0" borderId="0" xfId="0" applyFont="1" applyAlignment="1" applyProtection="1">
      <alignment horizontal="left"/>
      <protection/>
    </xf>
    <xf numFmtId="3" fontId="4" fillId="0" borderId="0" xfId="0" applyNumberFormat="1" applyFont="1" applyAlignment="1" applyProtection="1">
      <alignment horizontal="left"/>
      <protection/>
    </xf>
    <xf numFmtId="0" fontId="1" fillId="0" borderId="0" xfId="57" applyFont="1" applyAlignment="1">
      <alignment horizontal="right"/>
      <protection/>
    </xf>
    <xf numFmtId="3" fontId="14" fillId="33" borderId="0" xfId="0" applyNumberFormat="1" applyFont="1" applyFill="1" applyAlignment="1" applyProtection="1">
      <alignment horizontal="right"/>
      <protection/>
    </xf>
    <xf numFmtId="3" fontId="42" fillId="33" borderId="0" xfId="0" applyNumberFormat="1" applyFont="1" applyFill="1" applyAlignment="1" applyProtection="1">
      <alignment horizontal="left"/>
      <protection/>
    </xf>
    <xf numFmtId="3" fontId="41" fillId="33" borderId="0" xfId="0" applyNumberFormat="1" applyFont="1" applyFill="1" applyAlignment="1" applyProtection="1">
      <alignment horizontal="right"/>
      <protection/>
    </xf>
    <xf numFmtId="172" fontId="34" fillId="33" borderId="0" xfId="0" applyNumberFormat="1" applyFont="1" applyFill="1" applyAlignment="1" applyProtection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LS81.XLS" xfId="55"/>
    <cellStyle name="Normal_BLS88DE.XLS" xfId="56"/>
    <cellStyle name="Normal_TRFRUT_A.XLS" xfId="57"/>
    <cellStyle name="Normal_TRFRUT_B.XLS" xfId="58"/>
    <cellStyle name="Normal_TRFRUT_C.XL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0"/>
  <sheetViews>
    <sheetView zoomScalePageLayoutView="0" workbookViewId="0" topLeftCell="A9">
      <pane xSplit="1" ySplit="5" topLeftCell="B14" activePane="bottomRight" state="frozen"/>
      <selection pane="topLeft" activeCell="A9" sqref="A9"/>
      <selection pane="topRight" activeCell="B9" sqref="B9"/>
      <selection pane="bottomLeft" activeCell="A14" sqref="A14"/>
      <selection pane="bottomRight" activeCell="A61" sqref="A5:BZ61"/>
    </sheetView>
  </sheetViews>
  <sheetFormatPr defaultColWidth="9.00390625" defaultRowHeight="12.75"/>
  <cols>
    <col min="1" max="1" width="27.875" style="93" customWidth="1"/>
    <col min="2" max="69" width="9.625" style="0" customWidth="1"/>
    <col min="70" max="70" width="8.50390625" style="0" customWidth="1"/>
    <col min="71" max="76" width="10.375" style="239" customWidth="1"/>
    <col min="77" max="77" width="2.625" style="239" customWidth="1"/>
    <col min="78" max="78" width="10.375" style="239" customWidth="1"/>
  </cols>
  <sheetData>
    <row r="1" spans="1:78" ht="13.5">
      <c r="A1" s="9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2"/>
      <c r="BS1" s="233"/>
      <c r="BT1" s="233"/>
      <c r="BU1" s="233"/>
      <c r="BV1" s="233"/>
      <c r="BW1" s="233"/>
      <c r="BX1" s="233"/>
      <c r="BY1" s="233"/>
      <c r="BZ1" s="233"/>
    </row>
    <row r="2" spans="1:78" ht="13.5">
      <c r="A2" s="31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2"/>
      <c r="BS2" s="233"/>
      <c r="BT2" s="233"/>
      <c r="BU2" s="233"/>
      <c r="BV2" s="233"/>
      <c r="BW2" s="233"/>
      <c r="BX2" s="233"/>
      <c r="BY2" s="233"/>
      <c r="BZ2" s="233"/>
    </row>
    <row r="3" spans="1:78" ht="13.5">
      <c r="A3" s="31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2"/>
      <c r="BS3" s="233"/>
      <c r="BT3" s="233"/>
      <c r="BU3" s="233"/>
      <c r="BV3" s="233"/>
      <c r="BW3" s="233"/>
      <c r="BX3" s="233"/>
      <c r="BY3" s="233"/>
      <c r="BZ3" s="233"/>
    </row>
    <row r="4" spans="1:78" ht="13.5">
      <c r="A4" s="31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2"/>
      <c r="BS4" s="233"/>
      <c r="BT4" s="233"/>
      <c r="BU4" s="233"/>
      <c r="BV4" s="233"/>
      <c r="BW4" s="233"/>
      <c r="BX4" s="233"/>
      <c r="BY4" s="233"/>
      <c r="BZ4" s="233"/>
    </row>
    <row r="5" spans="1:78" ht="13.5">
      <c r="A5" s="31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2"/>
      <c r="BS5" s="233"/>
      <c r="BT5" s="233"/>
      <c r="BU5" s="233"/>
      <c r="BV5" s="233"/>
      <c r="BW5" s="233"/>
      <c r="BX5" s="233"/>
      <c r="BY5" s="233"/>
      <c r="BZ5" s="233"/>
    </row>
    <row r="6" spans="1:78" ht="12.75">
      <c r="A6" s="3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2"/>
      <c r="BQ6" s="2"/>
      <c r="BR6" s="2"/>
      <c r="BS6" s="235"/>
      <c r="BT6" s="235"/>
      <c r="BU6" s="235"/>
      <c r="BV6" s="235"/>
      <c r="BW6" s="235"/>
      <c r="BX6" s="235"/>
      <c r="BY6" s="235"/>
      <c r="BZ6" s="235"/>
    </row>
    <row r="7" spans="1:78" ht="12.75">
      <c r="A7" s="313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2"/>
      <c r="BQ7" s="2"/>
      <c r="BR7" s="2"/>
      <c r="BS7" s="235"/>
      <c r="BT7" s="235"/>
      <c r="BU7" s="235"/>
      <c r="BV7" s="235"/>
      <c r="BW7" s="235"/>
      <c r="BX7" s="235"/>
      <c r="BY7" s="235"/>
      <c r="BZ7" s="235"/>
    </row>
    <row r="8" spans="1:78" ht="12.75">
      <c r="A8" s="25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2"/>
      <c r="BQ8" s="2"/>
      <c r="BR8" s="2"/>
      <c r="BS8" s="234"/>
      <c r="BT8" s="234"/>
      <c r="BU8" s="234"/>
      <c r="BV8" s="234"/>
      <c r="BW8" s="234"/>
      <c r="BX8" s="234"/>
      <c r="BY8" s="234"/>
      <c r="BZ8" s="234"/>
    </row>
    <row r="9" spans="1:78" s="86" customFormat="1" ht="9" customHeight="1">
      <c r="A9" s="255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84"/>
      <c r="BQ9" s="84"/>
      <c r="BR9" s="84"/>
      <c r="BS9" s="256"/>
      <c r="BT9" s="256"/>
      <c r="BU9" s="256"/>
      <c r="BV9" s="256"/>
      <c r="BW9" s="256"/>
      <c r="BX9" s="256"/>
      <c r="BY9" s="256"/>
      <c r="BZ9" s="256"/>
    </row>
    <row r="10" spans="1:78" s="314" customFormat="1" ht="12.75">
      <c r="A10" s="257"/>
      <c r="B10" s="247" t="s">
        <v>0</v>
      </c>
      <c r="C10" s="247" t="s">
        <v>0</v>
      </c>
      <c r="D10" s="247" t="s">
        <v>0</v>
      </c>
      <c r="E10" s="247" t="s">
        <v>0</v>
      </c>
      <c r="F10" s="247" t="s">
        <v>1</v>
      </c>
      <c r="G10" s="247" t="s">
        <v>2</v>
      </c>
      <c r="H10" s="247" t="s">
        <v>0</v>
      </c>
      <c r="I10" s="247" t="s">
        <v>3</v>
      </c>
      <c r="J10" s="247" t="s">
        <v>0</v>
      </c>
      <c r="K10" s="247" t="s">
        <v>0</v>
      </c>
      <c r="L10" s="247" t="s">
        <v>0</v>
      </c>
      <c r="M10" s="247" t="s">
        <v>0</v>
      </c>
      <c r="N10" s="247" t="s">
        <v>0</v>
      </c>
      <c r="O10" s="247" t="s">
        <v>0</v>
      </c>
      <c r="P10" s="247" t="s">
        <v>4</v>
      </c>
      <c r="Q10" s="247" t="s">
        <v>0</v>
      </c>
      <c r="R10" s="247" t="s">
        <v>0</v>
      </c>
      <c r="S10" s="247" t="s">
        <v>0</v>
      </c>
      <c r="T10" s="247" t="s">
        <v>657</v>
      </c>
      <c r="U10" s="247" t="s">
        <v>6</v>
      </c>
      <c r="V10" s="247" t="s">
        <v>0</v>
      </c>
      <c r="W10" s="247" t="s">
        <v>5</v>
      </c>
      <c r="X10" s="247" t="s">
        <v>0</v>
      </c>
      <c r="Y10" s="247" t="s">
        <v>8</v>
      </c>
      <c r="Z10" s="247" t="s">
        <v>0</v>
      </c>
      <c r="AA10" s="247" t="s">
        <v>0</v>
      </c>
      <c r="AB10" s="247" t="s">
        <v>0</v>
      </c>
      <c r="AC10" s="247" t="s">
        <v>0</v>
      </c>
      <c r="AD10" s="247" t="s">
        <v>0</v>
      </c>
      <c r="AE10" s="247" t="s">
        <v>7</v>
      </c>
      <c r="AF10" s="247" t="s">
        <v>4</v>
      </c>
      <c r="AG10" s="247" t="s">
        <v>9</v>
      </c>
      <c r="AH10" s="247" t="s">
        <v>0</v>
      </c>
      <c r="AI10" s="247" t="s">
        <v>0</v>
      </c>
      <c r="AJ10" s="247" t="s">
        <v>0</v>
      </c>
      <c r="AK10" s="247" t="s">
        <v>4</v>
      </c>
      <c r="AL10" s="247" t="s">
        <v>0</v>
      </c>
      <c r="AM10" s="247" t="s">
        <v>0</v>
      </c>
      <c r="AN10" s="247" t="s">
        <v>0</v>
      </c>
      <c r="AO10" s="247" t="s">
        <v>7</v>
      </c>
      <c r="AP10" s="247" t="s">
        <v>4</v>
      </c>
      <c r="AQ10" s="247" t="s">
        <v>0</v>
      </c>
      <c r="AR10" s="247" t="s">
        <v>0</v>
      </c>
      <c r="AS10" s="247" t="s">
        <v>0</v>
      </c>
      <c r="AT10" s="247" t="s">
        <v>0</v>
      </c>
      <c r="AU10" s="247" t="s">
        <v>0</v>
      </c>
      <c r="AV10" s="247" t="s">
        <v>4</v>
      </c>
      <c r="AW10" s="247" t="s">
        <v>0</v>
      </c>
      <c r="AX10" s="247" t="s">
        <v>4</v>
      </c>
      <c r="AY10" s="247" t="s">
        <v>0</v>
      </c>
      <c r="AZ10" s="247" t="s">
        <v>7</v>
      </c>
      <c r="BA10" s="247" t="s">
        <v>0</v>
      </c>
      <c r="BB10" s="247" t="s">
        <v>4</v>
      </c>
      <c r="BC10" s="247" t="s">
        <v>7</v>
      </c>
      <c r="BD10" s="247" t="s">
        <v>0</v>
      </c>
      <c r="BE10" s="247" t="s">
        <v>4</v>
      </c>
      <c r="BF10" s="247" t="s">
        <v>0</v>
      </c>
      <c r="BG10" s="247" t="s">
        <v>66</v>
      </c>
      <c r="BH10" s="247" t="s">
        <v>0</v>
      </c>
      <c r="BI10" s="247" t="s">
        <v>0</v>
      </c>
      <c r="BJ10" s="247" t="s">
        <v>10</v>
      </c>
      <c r="BK10" s="247" t="s">
        <v>0</v>
      </c>
      <c r="BL10" s="247" t="s">
        <v>0</v>
      </c>
      <c r="BM10" s="247" t="s">
        <v>0</v>
      </c>
      <c r="BN10" s="247" t="s">
        <v>0</v>
      </c>
      <c r="BO10" s="247" t="s">
        <v>0</v>
      </c>
      <c r="BP10" s="248"/>
      <c r="BQ10" s="248"/>
      <c r="BR10" s="248"/>
      <c r="BS10" s="258" t="s">
        <v>11</v>
      </c>
      <c r="BT10" s="258" t="s">
        <v>691</v>
      </c>
      <c r="BU10" s="335" t="s">
        <v>688</v>
      </c>
      <c r="BV10" s="335"/>
      <c r="BW10" s="258"/>
      <c r="BX10" s="258"/>
      <c r="BY10" s="258"/>
      <c r="BZ10" s="258" t="s">
        <v>12</v>
      </c>
    </row>
    <row r="11" spans="1:78" s="314" customFormat="1" ht="12.75">
      <c r="A11" s="259" t="s">
        <v>13</v>
      </c>
      <c r="B11" s="247" t="s">
        <v>14</v>
      </c>
      <c r="C11" s="247" t="s">
        <v>642</v>
      </c>
      <c r="D11" s="247" t="s">
        <v>18</v>
      </c>
      <c r="E11" s="247" t="s">
        <v>15</v>
      </c>
      <c r="F11" s="247" t="s">
        <v>17</v>
      </c>
      <c r="G11" s="247" t="s">
        <v>17</v>
      </c>
      <c r="H11" s="247" t="s">
        <v>19</v>
      </c>
      <c r="I11" s="247" t="s">
        <v>17</v>
      </c>
      <c r="J11" s="247" t="s">
        <v>21</v>
      </c>
      <c r="K11" s="247" t="s">
        <v>553</v>
      </c>
      <c r="L11" s="247" t="s">
        <v>20</v>
      </c>
      <c r="M11" s="247" t="s">
        <v>22</v>
      </c>
      <c r="N11" s="247" t="s">
        <v>25</v>
      </c>
      <c r="O11" s="247" t="s">
        <v>24</v>
      </c>
      <c r="P11" s="247" t="s">
        <v>23</v>
      </c>
      <c r="Q11" s="247" t="s">
        <v>26</v>
      </c>
      <c r="R11" s="247" t="s">
        <v>27</v>
      </c>
      <c r="S11" s="247" t="s">
        <v>28</v>
      </c>
      <c r="T11" s="247" t="s">
        <v>58</v>
      </c>
      <c r="U11" s="247" t="s">
        <v>33</v>
      </c>
      <c r="V11" s="247" t="s">
        <v>29</v>
      </c>
      <c r="W11" s="247" t="s">
        <v>17</v>
      </c>
      <c r="X11" s="247" t="s">
        <v>30</v>
      </c>
      <c r="Y11" s="247" t="s">
        <v>36</v>
      </c>
      <c r="Z11" s="247" t="s">
        <v>31</v>
      </c>
      <c r="AA11" s="247" t="s">
        <v>16</v>
      </c>
      <c r="AB11" s="247" t="s">
        <v>30</v>
      </c>
      <c r="AC11" s="247" t="s">
        <v>32</v>
      </c>
      <c r="AD11" s="247" t="s">
        <v>34</v>
      </c>
      <c r="AE11" s="247" t="s">
        <v>35</v>
      </c>
      <c r="AF11" s="247" t="s">
        <v>16</v>
      </c>
      <c r="AG11" s="247" t="s">
        <v>17</v>
      </c>
      <c r="AH11" s="247" t="s">
        <v>37</v>
      </c>
      <c r="AI11" s="247" t="s">
        <v>38</v>
      </c>
      <c r="AJ11" s="247" t="s">
        <v>39</v>
      </c>
      <c r="AK11" s="247" t="s">
        <v>40</v>
      </c>
      <c r="AL11" s="247" t="s">
        <v>41</v>
      </c>
      <c r="AM11" s="247" t="s">
        <v>42</v>
      </c>
      <c r="AN11" s="247" t="s">
        <v>43</v>
      </c>
      <c r="AO11" s="247" t="s">
        <v>35</v>
      </c>
      <c r="AP11" s="247" t="s">
        <v>44</v>
      </c>
      <c r="AQ11" s="247" t="s">
        <v>46</v>
      </c>
      <c r="AR11" s="247" t="s">
        <v>45</v>
      </c>
      <c r="AS11" s="247" t="s">
        <v>47</v>
      </c>
      <c r="AT11" s="247" t="s">
        <v>48</v>
      </c>
      <c r="AU11" s="247" t="s">
        <v>642</v>
      </c>
      <c r="AV11" s="247" t="s">
        <v>49</v>
      </c>
      <c r="AW11" s="247" t="s">
        <v>50</v>
      </c>
      <c r="AX11" s="247" t="s">
        <v>51</v>
      </c>
      <c r="AY11" s="247" t="s">
        <v>16</v>
      </c>
      <c r="AZ11" s="247" t="s">
        <v>35</v>
      </c>
      <c r="BA11" s="247" t="s">
        <v>52</v>
      </c>
      <c r="BB11" s="247" t="s">
        <v>625</v>
      </c>
      <c r="BC11" s="247" t="s">
        <v>58</v>
      </c>
      <c r="BD11" s="247" t="s">
        <v>53</v>
      </c>
      <c r="BE11" s="247" t="s">
        <v>55</v>
      </c>
      <c r="BF11" s="247" t="s">
        <v>54</v>
      </c>
      <c r="BG11" s="247" t="s">
        <v>17</v>
      </c>
      <c r="BH11" s="247" t="s">
        <v>56</v>
      </c>
      <c r="BI11" s="247" t="s">
        <v>57</v>
      </c>
      <c r="BJ11" s="247" t="s">
        <v>58</v>
      </c>
      <c r="BK11" s="247" t="s">
        <v>59</v>
      </c>
      <c r="BL11" s="247" t="s">
        <v>60</v>
      </c>
      <c r="BM11" s="247" t="s">
        <v>61</v>
      </c>
      <c r="BN11" s="247" t="s">
        <v>62</v>
      </c>
      <c r="BO11" s="247" t="s">
        <v>63</v>
      </c>
      <c r="BP11" s="248"/>
      <c r="BQ11" s="248"/>
      <c r="BR11" s="248"/>
      <c r="BS11" s="258" t="s">
        <v>64</v>
      </c>
      <c r="BT11" s="258" t="s">
        <v>692</v>
      </c>
      <c r="BU11" s="335"/>
      <c r="BV11" s="335"/>
      <c r="BW11" s="258"/>
      <c r="BX11" s="258" t="s">
        <v>66</v>
      </c>
      <c r="BY11" s="258"/>
      <c r="BZ11" s="258" t="s">
        <v>64</v>
      </c>
    </row>
    <row r="12" spans="1:78" s="314" customFormat="1" ht="12.75">
      <c r="A12" s="257"/>
      <c r="B12" s="247" t="s">
        <v>67</v>
      </c>
      <c r="C12" s="247" t="s">
        <v>643</v>
      </c>
      <c r="D12" s="247"/>
      <c r="E12" s="247"/>
      <c r="F12" s="247" t="s">
        <v>35</v>
      </c>
      <c r="G12" s="247" t="s">
        <v>68</v>
      </c>
      <c r="H12" s="247" t="s">
        <v>69</v>
      </c>
      <c r="I12" s="247" t="s">
        <v>35</v>
      </c>
      <c r="J12" s="247" t="s">
        <v>69</v>
      </c>
      <c r="K12" s="247"/>
      <c r="L12" s="247"/>
      <c r="M12" s="247" t="s">
        <v>70</v>
      </c>
      <c r="N12" s="247"/>
      <c r="O12" s="247" t="s">
        <v>72</v>
      </c>
      <c r="P12" s="247" t="s">
        <v>71</v>
      </c>
      <c r="Q12" s="247" t="s">
        <v>633</v>
      </c>
      <c r="R12" s="247" t="s">
        <v>73</v>
      </c>
      <c r="S12" s="247" t="s">
        <v>69</v>
      </c>
      <c r="T12" s="247" t="s">
        <v>658</v>
      </c>
      <c r="U12" s="247" t="s">
        <v>77</v>
      </c>
      <c r="V12" s="247" t="s">
        <v>469</v>
      </c>
      <c r="W12" s="247" t="s">
        <v>35</v>
      </c>
      <c r="X12" s="247" t="s">
        <v>74</v>
      </c>
      <c r="Y12" s="247" t="s">
        <v>81</v>
      </c>
      <c r="Z12" s="247" t="s">
        <v>73</v>
      </c>
      <c r="AA12" s="247" t="s">
        <v>76</v>
      </c>
      <c r="AB12" s="247" t="s">
        <v>75</v>
      </c>
      <c r="AC12" s="247"/>
      <c r="AD12" s="247" t="s">
        <v>78</v>
      </c>
      <c r="AE12" s="247" t="s">
        <v>80</v>
      </c>
      <c r="AF12" s="247" t="s">
        <v>79</v>
      </c>
      <c r="AG12" s="247" t="s">
        <v>93</v>
      </c>
      <c r="AH12" s="247" t="s">
        <v>82</v>
      </c>
      <c r="AI12" s="247" t="s">
        <v>83</v>
      </c>
      <c r="AJ12" s="247"/>
      <c r="AK12" s="247" t="s">
        <v>84</v>
      </c>
      <c r="AL12" s="247" t="s">
        <v>85</v>
      </c>
      <c r="AM12" s="247" t="s">
        <v>86</v>
      </c>
      <c r="AN12" s="247" t="s">
        <v>87</v>
      </c>
      <c r="AO12" s="247" t="s">
        <v>98</v>
      </c>
      <c r="AP12" s="247" t="s">
        <v>88</v>
      </c>
      <c r="AQ12" s="247" t="s">
        <v>84</v>
      </c>
      <c r="AR12" s="247" t="s">
        <v>89</v>
      </c>
      <c r="AS12" s="247" t="s">
        <v>73</v>
      </c>
      <c r="AT12" s="247" t="s">
        <v>90</v>
      </c>
      <c r="AU12" s="247" t="s">
        <v>644</v>
      </c>
      <c r="AV12" s="247" t="s">
        <v>91</v>
      </c>
      <c r="AW12" s="247" t="s">
        <v>88</v>
      </c>
      <c r="AX12" s="247" t="s">
        <v>92</v>
      </c>
      <c r="AY12" s="247" t="s">
        <v>94</v>
      </c>
      <c r="AZ12" s="247" t="s">
        <v>95</v>
      </c>
      <c r="BA12" s="247" t="s">
        <v>96</v>
      </c>
      <c r="BB12" s="247" t="s">
        <v>97</v>
      </c>
      <c r="BC12" s="247" t="s">
        <v>652</v>
      </c>
      <c r="BD12" s="247" t="s">
        <v>99</v>
      </c>
      <c r="BE12" s="247" t="s">
        <v>101</v>
      </c>
      <c r="BF12" s="247" t="s">
        <v>100</v>
      </c>
      <c r="BG12" s="247" t="s">
        <v>35</v>
      </c>
      <c r="BH12" s="247" t="s">
        <v>102</v>
      </c>
      <c r="BI12" s="247" t="s">
        <v>103</v>
      </c>
      <c r="BJ12" s="247" t="s">
        <v>104</v>
      </c>
      <c r="BK12" s="247" t="s">
        <v>105</v>
      </c>
      <c r="BL12" s="247" t="s">
        <v>106</v>
      </c>
      <c r="BM12" s="247" t="s">
        <v>107</v>
      </c>
      <c r="BN12" s="247" t="s">
        <v>67</v>
      </c>
      <c r="BO12" s="247"/>
      <c r="BP12" s="248"/>
      <c r="BQ12" s="248"/>
      <c r="BR12" s="248"/>
      <c r="BS12" s="258" t="s">
        <v>108</v>
      </c>
      <c r="BT12" s="258" t="s">
        <v>687</v>
      </c>
      <c r="BU12" s="258" t="s">
        <v>689</v>
      </c>
      <c r="BV12" s="258" t="s">
        <v>690</v>
      </c>
      <c r="BW12" s="258" t="s">
        <v>109</v>
      </c>
      <c r="BX12" s="258" t="s">
        <v>65</v>
      </c>
      <c r="BY12" s="258"/>
      <c r="BZ12" s="258" t="s">
        <v>108</v>
      </c>
    </row>
    <row r="13" spans="1:78" s="315" customFormat="1" ht="12.75">
      <c r="A13" s="260"/>
      <c r="B13" s="249" t="s">
        <v>110</v>
      </c>
      <c r="C13" s="249" t="s">
        <v>111</v>
      </c>
      <c r="D13" s="249" t="s">
        <v>112</v>
      </c>
      <c r="E13" s="249" t="s">
        <v>113</v>
      </c>
      <c r="F13" s="249" t="s">
        <v>114</v>
      </c>
      <c r="G13" s="249" t="s">
        <v>115</v>
      </c>
      <c r="H13" s="249" t="s">
        <v>116</v>
      </c>
      <c r="I13" s="249" t="s">
        <v>117</v>
      </c>
      <c r="J13" s="249" t="s">
        <v>391</v>
      </c>
      <c r="K13" s="249" t="s">
        <v>392</v>
      </c>
      <c r="L13" s="249" t="s">
        <v>118</v>
      </c>
      <c r="M13" s="249" t="s">
        <v>119</v>
      </c>
      <c r="N13" s="249" t="s">
        <v>120</v>
      </c>
      <c r="O13" s="249" t="s">
        <v>121</v>
      </c>
      <c r="P13" s="249" t="s">
        <v>122</v>
      </c>
      <c r="Q13" s="249" t="s">
        <v>123</v>
      </c>
      <c r="R13" s="249" t="s">
        <v>124</v>
      </c>
      <c r="S13" s="249" t="s">
        <v>125</v>
      </c>
      <c r="T13" s="249" t="s">
        <v>126</v>
      </c>
      <c r="U13" s="249" t="s">
        <v>127</v>
      </c>
      <c r="V13" s="249" t="s">
        <v>128</v>
      </c>
      <c r="W13" s="249" t="s">
        <v>129</v>
      </c>
      <c r="X13" s="249" t="s">
        <v>130</v>
      </c>
      <c r="Y13" s="249" t="s">
        <v>131</v>
      </c>
      <c r="Z13" s="249" t="s">
        <v>132</v>
      </c>
      <c r="AA13" s="249" t="s">
        <v>133</v>
      </c>
      <c r="AB13" s="249" t="s">
        <v>134</v>
      </c>
      <c r="AC13" s="249" t="s">
        <v>135</v>
      </c>
      <c r="AD13" s="249" t="s">
        <v>136</v>
      </c>
      <c r="AE13" s="249" t="s">
        <v>137</v>
      </c>
      <c r="AF13" s="249" t="s">
        <v>138</v>
      </c>
      <c r="AG13" s="249" t="s">
        <v>139</v>
      </c>
      <c r="AH13" s="249" t="s">
        <v>140</v>
      </c>
      <c r="AI13" s="249" t="s">
        <v>141</v>
      </c>
      <c r="AJ13" s="249" t="s">
        <v>142</v>
      </c>
      <c r="AK13" s="249" t="s">
        <v>143</v>
      </c>
      <c r="AL13" s="249" t="s">
        <v>144</v>
      </c>
      <c r="AM13" s="249" t="s">
        <v>145</v>
      </c>
      <c r="AN13" s="249" t="s">
        <v>146</v>
      </c>
      <c r="AO13" s="249" t="s">
        <v>147</v>
      </c>
      <c r="AP13" s="249" t="s">
        <v>148</v>
      </c>
      <c r="AQ13" s="249" t="s">
        <v>149</v>
      </c>
      <c r="AR13" s="249" t="s">
        <v>150</v>
      </c>
      <c r="AS13" s="249" t="s">
        <v>151</v>
      </c>
      <c r="AT13" s="249" t="s">
        <v>152</v>
      </c>
      <c r="AU13" s="249" t="s">
        <v>153</v>
      </c>
      <c r="AV13" s="249" t="s">
        <v>154</v>
      </c>
      <c r="AW13" s="249" t="s">
        <v>155</v>
      </c>
      <c r="AX13" s="249" t="s">
        <v>156</v>
      </c>
      <c r="AY13" s="249" t="s">
        <v>157</v>
      </c>
      <c r="AZ13" s="249" t="s">
        <v>158</v>
      </c>
      <c r="BA13" s="249" t="s">
        <v>159</v>
      </c>
      <c r="BB13" s="249" t="s">
        <v>471</v>
      </c>
      <c r="BC13" s="249" t="s">
        <v>160</v>
      </c>
      <c r="BD13" s="249" t="s">
        <v>161</v>
      </c>
      <c r="BE13" s="249" t="s">
        <v>162</v>
      </c>
      <c r="BF13" s="249" t="s">
        <v>163</v>
      </c>
      <c r="BG13" s="249" t="s">
        <v>164</v>
      </c>
      <c r="BH13" s="249" t="s">
        <v>472</v>
      </c>
      <c r="BI13" s="249" t="s">
        <v>165</v>
      </c>
      <c r="BJ13" s="249" t="s">
        <v>166</v>
      </c>
      <c r="BK13" s="249" t="s">
        <v>167</v>
      </c>
      <c r="BL13" s="249" t="s">
        <v>168</v>
      </c>
      <c r="BM13" s="249" t="s">
        <v>169</v>
      </c>
      <c r="BN13" s="249" t="s">
        <v>170</v>
      </c>
      <c r="BO13" s="249" t="s">
        <v>171</v>
      </c>
      <c r="BP13" s="251"/>
      <c r="BQ13" s="251"/>
      <c r="BR13" s="251"/>
      <c r="BS13" s="261"/>
      <c r="BT13" s="261" t="s">
        <v>172</v>
      </c>
      <c r="BU13" s="261" t="s">
        <v>622</v>
      </c>
      <c r="BV13" s="261" t="s">
        <v>663</v>
      </c>
      <c r="BW13" s="261" t="s">
        <v>648</v>
      </c>
      <c r="BX13" s="261" t="s">
        <v>555</v>
      </c>
      <c r="BY13" s="261"/>
      <c r="BZ13" s="261" t="s">
        <v>649</v>
      </c>
    </row>
    <row r="14" spans="1:78" ht="12.75">
      <c r="A14" s="26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2"/>
      <c r="BQ14" s="2"/>
      <c r="BR14" s="2"/>
      <c r="BS14" s="262"/>
      <c r="BT14" s="262"/>
      <c r="BU14" s="262"/>
      <c r="BV14" s="262"/>
      <c r="BW14" s="262"/>
      <c r="BX14" s="262"/>
      <c r="BY14" s="262"/>
      <c r="BZ14" s="262"/>
    </row>
    <row r="15" spans="1:78" ht="12.75">
      <c r="A15" s="263" t="s">
        <v>517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2"/>
      <c r="BQ15" s="2"/>
      <c r="BR15" s="2"/>
      <c r="BS15" s="262"/>
      <c r="BT15" s="262"/>
      <c r="BU15" s="262"/>
      <c r="BV15" s="262"/>
      <c r="BW15" s="262"/>
      <c r="BX15" s="262"/>
      <c r="BY15" s="262"/>
      <c r="BZ15" s="262"/>
    </row>
    <row r="16" spans="1:78" ht="12.75">
      <c r="A16" s="26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  <c r="BS16" s="262"/>
      <c r="BT16" s="262"/>
      <c r="BU16" s="262"/>
      <c r="BV16" s="262"/>
      <c r="BW16" s="262"/>
      <c r="BX16" s="262"/>
      <c r="BY16" s="262"/>
      <c r="BZ16" s="262"/>
    </row>
    <row r="17" spans="1:78" s="124" customFormat="1" ht="12.75">
      <c r="A17" s="311" t="s">
        <v>592</v>
      </c>
      <c r="B17" s="240">
        <v>0</v>
      </c>
      <c r="C17" s="240">
        <v>0</v>
      </c>
      <c r="D17" s="240">
        <v>0</v>
      </c>
      <c r="E17" s="240">
        <v>0</v>
      </c>
      <c r="F17" s="240">
        <v>0</v>
      </c>
      <c r="G17" s="240">
        <v>0</v>
      </c>
      <c r="H17" s="240">
        <v>0</v>
      </c>
      <c r="I17" s="240">
        <v>0</v>
      </c>
      <c r="J17" s="240">
        <v>0</v>
      </c>
      <c r="K17" s="240">
        <v>0</v>
      </c>
      <c r="L17" s="240">
        <v>0</v>
      </c>
      <c r="M17" s="240">
        <v>0</v>
      </c>
      <c r="N17" s="240">
        <v>0</v>
      </c>
      <c r="O17" s="240">
        <v>0</v>
      </c>
      <c r="P17" s="240">
        <v>0</v>
      </c>
      <c r="Q17" s="240">
        <v>0</v>
      </c>
      <c r="R17" s="240">
        <v>0</v>
      </c>
      <c r="S17" s="240">
        <v>0</v>
      </c>
      <c r="T17" s="240">
        <v>0</v>
      </c>
      <c r="U17" s="240">
        <v>0</v>
      </c>
      <c r="V17" s="240">
        <v>0</v>
      </c>
      <c r="W17" s="240">
        <v>0</v>
      </c>
      <c r="X17" s="240">
        <v>0</v>
      </c>
      <c r="Y17" s="240">
        <v>0</v>
      </c>
      <c r="Z17" s="240">
        <v>0</v>
      </c>
      <c r="AA17" s="240">
        <v>0</v>
      </c>
      <c r="AB17" s="240">
        <v>0</v>
      </c>
      <c r="AC17" s="240">
        <v>0</v>
      </c>
      <c r="AD17" s="240">
        <v>0</v>
      </c>
      <c r="AE17" s="240">
        <v>0</v>
      </c>
      <c r="AF17" s="240">
        <v>0</v>
      </c>
      <c r="AG17" s="240">
        <v>0</v>
      </c>
      <c r="AH17" s="240">
        <v>0</v>
      </c>
      <c r="AI17" s="240">
        <v>0</v>
      </c>
      <c r="AJ17" s="240">
        <v>0</v>
      </c>
      <c r="AK17" s="240">
        <v>0</v>
      </c>
      <c r="AL17" s="240">
        <v>0</v>
      </c>
      <c r="AM17" s="240">
        <v>0</v>
      </c>
      <c r="AN17" s="240">
        <v>0</v>
      </c>
      <c r="AO17" s="240">
        <v>0</v>
      </c>
      <c r="AP17" s="240">
        <v>0</v>
      </c>
      <c r="AQ17" s="240">
        <v>0</v>
      </c>
      <c r="AR17" s="240">
        <v>0</v>
      </c>
      <c r="AS17" s="240">
        <v>0</v>
      </c>
      <c r="AT17" s="240">
        <v>0</v>
      </c>
      <c r="AU17" s="240">
        <v>0</v>
      </c>
      <c r="AV17" s="240">
        <v>0</v>
      </c>
      <c r="AW17" s="240">
        <v>0</v>
      </c>
      <c r="AX17" s="240">
        <v>0</v>
      </c>
      <c r="AY17" s="240">
        <v>0</v>
      </c>
      <c r="AZ17" s="240">
        <v>0</v>
      </c>
      <c r="BA17" s="240">
        <v>0</v>
      </c>
      <c r="BB17" s="240">
        <v>0</v>
      </c>
      <c r="BC17" s="240">
        <v>0</v>
      </c>
      <c r="BD17" s="240">
        <v>0</v>
      </c>
      <c r="BE17" s="240">
        <v>0</v>
      </c>
      <c r="BF17" s="240">
        <v>0</v>
      </c>
      <c r="BG17" s="240">
        <v>0</v>
      </c>
      <c r="BH17" s="240">
        <v>0</v>
      </c>
      <c r="BI17" s="240">
        <v>0</v>
      </c>
      <c r="BJ17" s="240">
        <v>0</v>
      </c>
      <c r="BK17" s="240">
        <v>0</v>
      </c>
      <c r="BL17" s="240">
        <v>0</v>
      </c>
      <c r="BM17" s="240">
        <v>0</v>
      </c>
      <c r="BN17" s="240">
        <v>0</v>
      </c>
      <c r="BO17" s="240">
        <v>0</v>
      </c>
      <c r="BP17" s="240"/>
      <c r="BQ17" s="240"/>
      <c r="BR17" s="240"/>
      <c r="BS17" s="256">
        <f aca="true" t="shared" si="0" ref="BS17:BS58">SUM(B17:BO17)</f>
        <v>0</v>
      </c>
      <c r="BT17" s="256">
        <f>SUM(C17+P17+U17+V17+AA17+AD17+AF17+AN17+AP17+AR17+AW17+BB17+BD17+BE17+BH17+BK17+BL17+BN17+BO17)</f>
        <v>0</v>
      </c>
      <c r="BU17" s="256">
        <f aca="true" t="shared" si="1" ref="BU17:BU61">SUM(D17+F17+H17+J17+K17+M17+O17+Q17+S17+X17+AI17+AJ17+AT17)</f>
        <v>0</v>
      </c>
      <c r="BV17" s="256">
        <f>SUM(B17+E17+G17+I17+L17+N17+R17+T17+AB17+AC17+AE17+AH17+AK17+AL17+AM17+AU17+AV17+AX17+AY17+AZ17+BC17+BF17+BM17)</f>
        <v>0</v>
      </c>
      <c r="BW17" s="256">
        <f aca="true" t="shared" si="2" ref="BW17:BW61">SUM(BT17:BV17)</f>
        <v>0</v>
      </c>
      <c r="BX17" s="256">
        <f aca="true" t="shared" si="3" ref="BX17:BX61">SUM(W17+Y17+Z17+AG17+AO17+AQ17+AS17+BA17+BG17+BI17+BJ17)</f>
        <v>0</v>
      </c>
      <c r="BY17" s="125"/>
      <c r="BZ17" s="256">
        <f aca="true" t="shared" si="4" ref="BZ17:BZ61">SUM(BW17:BX17)</f>
        <v>0</v>
      </c>
    </row>
    <row r="18" spans="1:78" ht="12.75">
      <c r="A18" s="26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"/>
      <c r="BQ18" s="2"/>
      <c r="BR18" s="2"/>
      <c r="BS18" s="256"/>
      <c r="BT18" s="256"/>
      <c r="BU18" s="256"/>
      <c r="BV18" s="256"/>
      <c r="BW18" s="256"/>
      <c r="BX18" s="256"/>
      <c r="BY18" s="262"/>
      <c r="BZ18" s="256"/>
    </row>
    <row r="19" spans="1:78" ht="12.75">
      <c r="A19" s="263" t="s">
        <v>593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2"/>
      <c r="BQ19" s="2"/>
      <c r="BR19" s="2"/>
      <c r="BS19" s="256"/>
      <c r="BT19" s="256"/>
      <c r="BU19" s="256"/>
      <c r="BV19" s="256"/>
      <c r="BW19" s="256"/>
      <c r="BX19" s="256"/>
      <c r="BY19" s="262"/>
      <c r="BZ19" s="256"/>
    </row>
    <row r="20" spans="1:78" ht="12.75">
      <c r="A20" s="266" t="s">
        <v>594</v>
      </c>
      <c r="B20" s="240">
        <v>150705.372</v>
      </c>
      <c r="C20" s="240">
        <v>36018.616</v>
      </c>
      <c r="D20" s="240">
        <v>51864.784</v>
      </c>
      <c r="E20" s="240">
        <v>38398.97</v>
      </c>
      <c r="F20" s="240">
        <v>15081.15</v>
      </c>
      <c r="G20" s="240">
        <v>0</v>
      </c>
      <c r="H20" s="240">
        <v>7068.797</v>
      </c>
      <c r="I20" s="240">
        <v>149031.606</v>
      </c>
      <c r="J20" s="240">
        <v>28336.597</v>
      </c>
      <c r="K20" s="240">
        <v>0</v>
      </c>
      <c r="L20" s="240">
        <v>0</v>
      </c>
      <c r="M20" s="240">
        <v>10843.098</v>
      </c>
      <c r="N20" s="240">
        <v>0</v>
      </c>
      <c r="O20" s="240">
        <v>0</v>
      </c>
      <c r="P20" s="240">
        <v>0</v>
      </c>
      <c r="Q20" s="240">
        <v>24574.858</v>
      </c>
      <c r="R20" s="240">
        <v>36696.333</v>
      </c>
      <c r="S20" s="240">
        <v>0</v>
      </c>
      <c r="T20" s="240">
        <v>0</v>
      </c>
      <c r="U20" s="240">
        <v>0</v>
      </c>
      <c r="V20" s="240">
        <v>8004.136</v>
      </c>
      <c r="W20" s="240">
        <v>0</v>
      </c>
      <c r="X20" s="240">
        <v>5784.445</v>
      </c>
      <c r="Y20" s="240">
        <v>0</v>
      </c>
      <c r="Z20" s="240">
        <v>0</v>
      </c>
      <c r="AA20" s="240">
        <v>0</v>
      </c>
      <c r="AB20" s="240">
        <v>0</v>
      </c>
      <c r="AC20" s="240">
        <v>0</v>
      </c>
      <c r="AD20" s="240">
        <v>0</v>
      </c>
      <c r="AE20" s="240">
        <v>1869.656</v>
      </c>
      <c r="AF20" s="240">
        <v>0</v>
      </c>
      <c r="AG20" s="240">
        <v>0</v>
      </c>
      <c r="AH20" s="240">
        <v>2678.938</v>
      </c>
      <c r="AI20" s="240">
        <v>0</v>
      </c>
      <c r="AJ20" s="240">
        <f>10147.958</f>
        <v>10147.958</v>
      </c>
      <c r="AK20" s="240">
        <v>0</v>
      </c>
      <c r="AL20" s="240">
        <v>0</v>
      </c>
      <c r="AM20" s="240">
        <v>0</v>
      </c>
      <c r="AN20" s="240">
        <v>0</v>
      </c>
      <c r="AO20" s="240">
        <v>0</v>
      </c>
      <c r="AP20" s="240">
        <v>0</v>
      </c>
      <c r="AQ20" s="240">
        <v>0</v>
      </c>
      <c r="AR20" s="240">
        <v>0</v>
      </c>
      <c r="AS20" s="240">
        <v>0</v>
      </c>
      <c r="AT20" s="240">
        <v>15292.631</v>
      </c>
      <c r="AU20" s="240">
        <f>36018.616</f>
        <v>36018.616</v>
      </c>
      <c r="AV20" s="240">
        <v>0</v>
      </c>
      <c r="AW20" s="240">
        <v>0</v>
      </c>
      <c r="AX20" s="240">
        <v>0</v>
      </c>
      <c r="AY20" s="240">
        <v>0</v>
      </c>
      <c r="AZ20" s="240">
        <v>0</v>
      </c>
      <c r="BA20" s="240">
        <v>0</v>
      </c>
      <c r="BB20" s="240">
        <v>0</v>
      </c>
      <c r="BC20" s="240">
        <v>0</v>
      </c>
      <c r="BD20" s="240">
        <v>0</v>
      </c>
      <c r="BE20" s="240">
        <v>0</v>
      </c>
      <c r="BF20" s="240">
        <v>0</v>
      </c>
      <c r="BG20" s="240">
        <v>0</v>
      </c>
      <c r="BH20" s="240">
        <v>0</v>
      </c>
      <c r="BI20" s="240">
        <v>0</v>
      </c>
      <c r="BJ20" s="240">
        <v>0</v>
      </c>
      <c r="BK20" s="240">
        <v>0</v>
      </c>
      <c r="BL20" s="240">
        <v>0</v>
      </c>
      <c r="BM20" s="240">
        <v>0</v>
      </c>
      <c r="BN20" s="240">
        <v>0</v>
      </c>
      <c r="BO20" s="240">
        <v>0</v>
      </c>
      <c r="BP20" s="240"/>
      <c r="BQ20" s="240"/>
      <c r="BR20" s="240"/>
      <c r="BS20" s="256">
        <f t="shared" si="0"/>
        <v>628416.5610000001</v>
      </c>
      <c r="BT20" s="256">
        <f aca="true" t="shared" si="5" ref="BT20:BT61">SUM(C20+P20+U20+V20+AA20+AD20+AF20+AN20+AP20+AR20+AW20+BB20+BD20+BE20+BH20+BK20+BL20+BN20+BO20)</f>
        <v>44022.752</v>
      </c>
      <c r="BU20" s="256">
        <f t="shared" si="1"/>
        <v>168994.31800000003</v>
      </c>
      <c r="BV20" s="256">
        <f aca="true" t="shared" si="6" ref="BV20:BV61">SUM(B20+E20+G20+I20+L20+N20+R20+T20+AB20+AC20+AE20+AH20+AK20+AL20+AM20+AU20+AV20+AX20+AY20+AZ20+BC20+BF20+BM20)</f>
        <v>415399.491</v>
      </c>
      <c r="BW20" s="256">
        <f t="shared" si="2"/>
        <v>628416.561</v>
      </c>
      <c r="BX20" s="256">
        <f t="shared" si="3"/>
        <v>0</v>
      </c>
      <c r="BY20" s="256"/>
      <c r="BZ20" s="256">
        <f t="shared" si="4"/>
        <v>628416.561</v>
      </c>
    </row>
    <row r="21" spans="1:78" ht="6.75" customHeight="1">
      <c r="A21" s="266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256"/>
      <c r="BT21" s="256"/>
      <c r="BU21" s="256"/>
      <c r="BV21" s="256"/>
      <c r="BW21" s="256"/>
      <c r="BX21" s="256"/>
      <c r="BY21" s="82"/>
      <c r="BZ21" s="256"/>
    </row>
    <row r="22" spans="1:78" ht="12.75">
      <c r="A22" s="267" t="s">
        <v>675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256"/>
      <c r="BT22" s="256"/>
      <c r="BU22" s="256"/>
      <c r="BV22" s="256"/>
      <c r="BW22" s="256"/>
      <c r="BX22" s="256"/>
      <c r="BY22" s="82"/>
      <c r="BZ22" s="256"/>
    </row>
    <row r="23" spans="1:78" ht="12.75">
      <c r="A23" s="266" t="s">
        <v>596</v>
      </c>
      <c r="B23" s="10">
        <f>3768834.247+3928655.31</f>
        <v>7697489.557</v>
      </c>
      <c r="C23" s="10">
        <v>619755.812</v>
      </c>
      <c r="D23" s="10">
        <v>4591782.315</v>
      </c>
      <c r="E23" s="10">
        <v>2812191.045</v>
      </c>
      <c r="F23" s="10">
        <v>5620584.459</v>
      </c>
      <c r="G23" s="10">
        <v>736664.035</v>
      </c>
      <c r="H23" s="10">
        <v>3192102</v>
      </c>
      <c r="I23" s="10">
        <f>2262979.75+203364</f>
        <v>2466343.75</v>
      </c>
      <c r="J23" s="10">
        <v>3562335.662</v>
      </c>
      <c r="K23" s="10">
        <v>1345698.892</v>
      </c>
      <c r="L23" s="10">
        <v>1501971.038</v>
      </c>
      <c r="M23" s="10">
        <v>1424729.824</v>
      </c>
      <c r="N23" s="10">
        <v>2027020.567</v>
      </c>
      <c r="O23" s="10">
        <v>1358136.204</v>
      </c>
      <c r="P23" s="10">
        <v>0</v>
      </c>
      <c r="Q23" s="10">
        <v>1060525.339</v>
      </c>
      <c r="R23" s="10">
        <f>607434.525+1305322.318+75133.213</f>
        <v>1987890.0559999999</v>
      </c>
      <c r="S23" s="10">
        <v>660971</v>
      </c>
      <c r="T23" s="10">
        <v>287457.313</v>
      </c>
      <c r="U23" s="10">
        <v>73665.588</v>
      </c>
      <c r="V23" s="10">
        <v>140319.085</v>
      </c>
      <c r="W23" s="10">
        <v>799206.339</v>
      </c>
      <c r="X23" s="10">
        <v>392365.837</v>
      </c>
      <c r="Y23" s="10">
        <v>2481816.51</v>
      </c>
      <c r="Z23" s="10">
        <v>690929.573</v>
      </c>
      <c r="AA23" s="10">
        <v>0</v>
      </c>
      <c r="AB23" s="10">
        <v>270804.158</v>
      </c>
      <c r="AC23" s="10">
        <v>134184.101</v>
      </c>
      <c r="AD23" s="10">
        <v>266198.829</v>
      </c>
      <c r="AE23" s="10">
        <f>222599.034+426431.834+61353.912+315180.611</f>
        <v>1025565.3910000001</v>
      </c>
      <c r="AF23" s="10">
        <v>200364.665</v>
      </c>
      <c r="AG23" s="10">
        <v>211534.697</v>
      </c>
      <c r="AH23" s="10">
        <v>138901.162</v>
      </c>
      <c r="AI23" s="10">
        <v>110983.927</v>
      </c>
      <c r="AJ23" s="10">
        <f>428.153</f>
        <v>428.153</v>
      </c>
      <c r="AK23" s="10">
        <f>108257.038-663</f>
        <v>107594.038</v>
      </c>
      <c r="AL23" s="10">
        <v>58888.09</v>
      </c>
      <c r="AM23" s="10">
        <v>101866.545</v>
      </c>
      <c r="AN23" s="10">
        <v>119178.596</v>
      </c>
      <c r="AO23" s="10">
        <v>356266.418</v>
      </c>
      <c r="AP23" s="10">
        <v>26710.626</v>
      </c>
      <c r="AQ23" s="10">
        <v>74052.181</v>
      </c>
      <c r="AR23" s="10">
        <v>109318.27</v>
      </c>
      <c r="AS23" s="10">
        <v>167479.259</v>
      </c>
      <c r="AT23" s="10">
        <v>25070.621</v>
      </c>
      <c r="AU23" s="10">
        <v>36106.444</v>
      </c>
      <c r="AV23" s="10">
        <v>4559.003</v>
      </c>
      <c r="AW23" s="10">
        <v>0</v>
      </c>
      <c r="AX23" s="10">
        <v>0</v>
      </c>
      <c r="AY23" s="10">
        <v>19143.918</v>
      </c>
      <c r="AZ23" s="10">
        <v>0</v>
      </c>
      <c r="BA23" s="10">
        <f>10116.076+31565.234</f>
        <v>41681.31</v>
      </c>
      <c r="BB23" s="10">
        <v>5471.534</v>
      </c>
      <c r="BC23" s="10">
        <v>31324.35</v>
      </c>
      <c r="BD23" s="10">
        <v>0</v>
      </c>
      <c r="BE23" s="10">
        <v>0</v>
      </c>
      <c r="BF23" s="10">
        <v>1941.95</v>
      </c>
      <c r="BG23" s="10">
        <v>3730.855</v>
      </c>
      <c r="BH23" s="10">
        <v>15900</v>
      </c>
      <c r="BI23" s="10">
        <v>12883.146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240"/>
      <c r="BQ23" s="240"/>
      <c r="BR23" s="240"/>
      <c r="BS23" s="256">
        <f t="shared" si="0"/>
        <v>51210084.03700003</v>
      </c>
      <c r="BT23" s="256">
        <f t="shared" si="5"/>
        <v>1576883.005</v>
      </c>
      <c r="BU23" s="256">
        <f t="shared" si="1"/>
        <v>23345714.233000007</v>
      </c>
      <c r="BV23" s="256">
        <f t="shared" si="6"/>
        <v>21447906.511</v>
      </c>
      <c r="BW23" s="256">
        <f t="shared" si="2"/>
        <v>46370503.749000005</v>
      </c>
      <c r="BX23" s="256">
        <f t="shared" si="3"/>
        <v>4839580.287999999</v>
      </c>
      <c r="BY23" s="256"/>
      <c r="BZ23" s="256">
        <f t="shared" si="4"/>
        <v>51210084.037</v>
      </c>
    </row>
    <row r="24" spans="1:78" ht="12.75">
      <c r="A24" s="266" t="s">
        <v>597</v>
      </c>
      <c r="B24" s="10">
        <f>37690729.005-752546</f>
        <v>36938183.005</v>
      </c>
      <c r="C24" s="10">
        <v>22590631.756</v>
      </c>
      <c r="D24" s="10">
        <v>26732500.04</v>
      </c>
      <c r="E24" s="10">
        <v>23734612.463</v>
      </c>
      <c r="F24" s="10">
        <v>16526049.622</v>
      </c>
      <c r="G24" s="10">
        <v>12110478.046</v>
      </c>
      <c r="H24" s="10">
        <v>8522794</v>
      </c>
      <c r="I24" s="10">
        <f>52050+6293354.003+197117</f>
        <v>6542521.003</v>
      </c>
      <c r="J24" s="10">
        <v>5584019.836</v>
      </c>
      <c r="K24" s="10">
        <v>5088426.448</v>
      </c>
      <c r="L24" s="10">
        <v>3986376.878</v>
      </c>
      <c r="M24" s="10">
        <v>6798430.435</v>
      </c>
      <c r="N24" s="10">
        <f>2451521.927+2885098.716-537507.37</f>
        <v>4799113.273</v>
      </c>
      <c r="O24" s="10">
        <v>5202165.572</v>
      </c>
      <c r="P24" s="10">
        <v>4953670.72</v>
      </c>
      <c r="Q24" s="10">
        <v>4939312.827</v>
      </c>
      <c r="R24" s="10">
        <v>1703041</v>
      </c>
      <c r="S24" s="10">
        <v>3835646</v>
      </c>
      <c r="T24" s="10">
        <v>3540951.316</v>
      </c>
      <c r="U24" s="10">
        <v>3763707.55</v>
      </c>
      <c r="V24" s="10">
        <v>3152045.418</v>
      </c>
      <c r="W24" s="10">
        <v>3054321.487</v>
      </c>
      <c r="X24" s="10">
        <v>2104664.861</v>
      </c>
      <c r="Y24" s="10">
        <v>758083.336</v>
      </c>
      <c r="Z24" s="10">
        <v>2017310.61</v>
      </c>
      <c r="AA24" s="10">
        <v>337611.427</v>
      </c>
      <c r="AB24" s="10">
        <v>694267.656</v>
      </c>
      <c r="AC24" s="10">
        <v>1221926.911</v>
      </c>
      <c r="AD24" s="10">
        <v>1399611.196</v>
      </c>
      <c r="AE24" s="10">
        <f>131085.449+187011.119</f>
        <v>318096.56799999997</v>
      </c>
      <c r="AF24" s="10">
        <v>1697079.67</v>
      </c>
      <c r="AG24" s="10">
        <v>1329682.783</v>
      </c>
      <c r="AH24" s="10">
        <v>1249092.272</v>
      </c>
      <c r="AI24" s="10">
        <v>1288307.582</v>
      </c>
      <c r="AJ24" s="10">
        <f>1077991.448+23141.59+22607.819</f>
        <v>1123740.857</v>
      </c>
      <c r="AK24" s="10">
        <v>1035031.68</v>
      </c>
      <c r="AL24" s="10">
        <v>955269.177</v>
      </c>
      <c r="AM24" s="10">
        <v>775855.033</v>
      </c>
      <c r="AN24" s="10">
        <v>386585.58</v>
      </c>
      <c r="AO24" s="10">
        <v>584566.206</v>
      </c>
      <c r="AP24" s="10">
        <f>129547.32+17270+70157.689</f>
        <v>216975.00900000002</v>
      </c>
      <c r="AQ24" s="10">
        <v>670796.093</v>
      </c>
      <c r="AR24" s="10">
        <v>521737.623</v>
      </c>
      <c r="AS24" s="10">
        <v>540883.391</v>
      </c>
      <c r="AT24" s="10">
        <v>541648.065</v>
      </c>
      <c r="AU24" s="10">
        <v>356148.977</v>
      </c>
      <c r="AV24" s="10">
        <f>422660.251+42929.156</f>
        <v>465589.407</v>
      </c>
      <c r="AW24" s="10">
        <v>501281.909</v>
      </c>
      <c r="AX24" s="10">
        <v>498191.824</v>
      </c>
      <c r="AY24" s="10">
        <v>378708.063</v>
      </c>
      <c r="AZ24" s="10">
        <v>351792.773</v>
      </c>
      <c r="BA24" s="10">
        <v>335492.076</v>
      </c>
      <c r="BB24" s="10">
        <v>190310.82</v>
      </c>
      <c r="BC24" s="10">
        <v>261483.437</v>
      </c>
      <c r="BD24" s="10">
        <v>209671.221</v>
      </c>
      <c r="BE24" s="10">
        <v>20196.183</v>
      </c>
      <c r="BF24" s="10">
        <v>95512.101</v>
      </c>
      <c r="BG24" s="10">
        <v>133167.815</v>
      </c>
      <c r="BH24" s="10">
        <v>97045.845</v>
      </c>
      <c r="BI24" s="10">
        <v>104727.503</v>
      </c>
      <c r="BJ24" s="10">
        <f>22838.414+79634.252</f>
        <v>102472.666</v>
      </c>
      <c r="BK24" s="10">
        <f>12241.953+23883.491</f>
        <v>36125.444</v>
      </c>
      <c r="BL24" s="10">
        <v>31517</v>
      </c>
      <c r="BM24" s="10">
        <v>10646.8</v>
      </c>
      <c r="BN24" s="10">
        <v>0</v>
      </c>
      <c r="BO24" s="10">
        <v>0</v>
      </c>
      <c r="BP24" s="240"/>
      <c r="BQ24" s="240"/>
      <c r="BR24" s="240"/>
      <c r="BS24" s="256">
        <f t="shared" si="0"/>
        <v>240047904.14499998</v>
      </c>
      <c r="BT24" s="256">
        <f t="shared" si="5"/>
        <v>40105804.37100001</v>
      </c>
      <c r="BU24" s="256">
        <f t="shared" si="1"/>
        <v>88287706.145</v>
      </c>
      <c r="BV24" s="256">
        <f t="shared" si="6"/>
        <v>102022889.66300003</v>
      </c>
      <c r="BW24" s="256">
        <f t="shared" si="2"/>
        <v>230416400.17900002</v>
      </c>
      <c r="BX24" s="256">
        <f t="shared" si="3"/>
        <v>9631503.966</v>
      </c>
      <c r="BY24" s="256"/>
      <c r="BZ24" s="256">
        <f t="shared" si="4"/>
        <v>240047904.145</v>
      </c>
    </row>
    <row r="25" spans="1:78" ht="12.75">
      <c r="A25" s="268" t="s">
        <v>598</v>
      </c>
      <c r="B25" s="10">
        <f>7045649.722+752546</f>
        <v>7798195.722</v>
      </c>
      <c r="C25" s="10">
        <v>9979138.273</v>
      </c>
      <c r="D25" s="10">
        <v>1587820.809</v>
      </c>
      <c r="E25" s="10">
        <v>1673519.148</v>
      </c>
      <c r="F25" s="10">
        <v>5218252.43</v>
      </c>
      <c r="G25" s="10">
        <v>289065.51</v>
      </c>
      <c r="H25" s="10">
        <v>715254.223</v>
      </c>
      <c r="I25" s="10">
        <v>1465962.768</v>
      </c>
      <c r="J25" s="10">
        <v>1081215.979</v>
      </c>
      <c r="K25" s="10">
        <v>3348922.532</v>
      </c>
      <c r="L25" s="10">
        <v>149463.635</v>
      </c>
      <c r="M25" s="10">
        <v>337056.642</v>
      </c>
      <c r="N25" s="10">
        <v>537507.37</v>
      </c>
      <c r="O25" s="10">
        <v>517221.186</v>
      </c>
      <c r="P25" s="10">
        <v>1376047.747</v>
      </c>
      <c r="Q25" s="10">
        <v>11619.922</v>
      </c>
      <c r="R25" s="10">
        <v>2127027</v>
      </c>
      <c r="S25" s="10">
        <v>108322</v>
      </c>
      <c r="T25" s="10">
        <v>814446.178</v>
      </c>
      <c r="U25" s="10">
        <v>463158.594</v>
      </c>
      <c r="V25" s="10">
        <v>909134.448</v>
      </c>
      <c r="W25" s="10">
        <v>349554.115</v>
      </c>
      <c r="X25" s="10">
        <v>123678.33</v>
      </c>
      <c r="Y25" s="10">
        <v>0</v>
      </c>
      <c r="Z25" s="10">
        <v>349557.795</v>
      </c>
      <c r="AA25" s="10">
        <v>1335066.925</v>
      </c>
      <c r="AB25" s="10">
        <v>698745.157</v>
      </c>
      <c r="AC25" s="10">
        <v>920842.924</v>
      </c>
      <c r="AD25" s="10">
        <v>455476.233</v>
      </c>
      <c r="AE25" s="10">
        <f>182031.451+488166.179</f>
        <v>670197.63</v>
      </c>
      <c r="AF25" s="10">
        <v>0</v>
      </c>
      <c r="AG25" s="10">
        <v>0</v>
      </c>
      <c r="AH25" s="10">
        <v>135710.599</v>
      </c>
      <c r="AI25" s="10">
        <v>63748.259</v>
      </c>
      <c r="AJ25" s="10">
        <f>20747.917+3991.083</f>
        <v>24739</v>
      </c>
      <c r="AK25" s="10">
        <v>53446.378</v>
      </c>
      <c r="AL25" s="10">
        <v>83402.34</v>
      </c>
      <c r="AM25" s="10">
        <v>103600.136</v>
      </c>
      <c r="AN25" s="10">
        <v>420313.451</v>
      </c>
      <c r="AO25" s="10">
        <v>27632.708</v>
      </c>
      <c r="AP25" s="10">
        <f>146581.818+126088.882+298457.753</f>
        <v>571128.453</v>
      </c>
      <c r="AQ25" s="10">
        <v>42415.482</v>
      </c>
      <c r="AR25" s="10">
        <v>136844.586</v>
      </c>
      <c r="AS25" s="10">
        <v>44522.701</v>
      </c>
      <c r="AT25" s="10">
        <v>12536.626</v>
      </c>
      <c r="AU25" s="10">
        <v>53616.538</v>
      </c>
      <c r="AV25" s="10">
        <v>149751.638</v>
      </c>
      <c r="AW25" s="10">
        <v>103069.326</v>
      </c>
      <c r="AX25" s="10">
        <v>22436.1</v>
      </c>
      <c r="AY25" s="10">
        <v>28766.738</v>
      </c>
      <c r="AZ25" s="10">
        <v>24588.693</v>
      </c>
      <c r="BA25" s="10">
        <v>3895.705</v>
      </c>
      <c r="BB25" s="10">
        <v>85515.744</v>
      </c>
      <c r="BC25" s="10">
        <v>14529.998</v>
      </c>
      <c r="BD25" s="10">
        <v>11207.518</v>
      </c>
      <c r="BE25" s="10">
        <v>97129.267</v>
      </c>
      <c r="BF25" s="10">
        <v>58177.197</v>
      </c>
      <c r="BG25" s="10">
        <v>0</v>
      </c>
      <c r="BH25" s="10">
        <v>7094.846</v>
      </c>
      <c r="BI25" s="10">
        <v>0</v>
      </c>
      <c r="BJ25" s="10">
        <v>0</v>
      </c>
      <c r="BK25" s="10">
        <v>14798.01</v>
      </c>
      <c r="BL25" s="10">
        <v>0</v>
      </c>
      <c r="BM25" s="10">
        <v>0</v>
      </c>
      <c r="BN25" s="10">
        <v>10578.341</v>
      </c>
      <c r="BO25" s="10">
        <v>0</v>
      </c>
      <c r="BP25" s="240"/>
      <c r="BQ25" s="240"/>
      <c r="BR25" s="240"/>
      <c r="BS25" s="256">
        <f t="shared" si="0"/>
        <v>47816667.603</v>
      </c>
      <c r="BT25" s="256">
        <f t="shared" si="5"/>
        <v>15975701.762000002</v>
      </c>
      <c r="BU25" s="256">
        <f t="shared" si="1"/>
        <v>13150387.938</v>
      </c>
      <c r="BV25" s="256">
        <f t="shared" si="6"/>
        <v>17872999.397</v>
      </c>
      <c r="BW25" s="256">
        <f t="shared" si="2"/>
        <v>46999089.097</v>
      </c>
      <c r="BX25" s="256">
        <f t="shared" si="3"/>
        <v>817578.5059999998</v>
      </c>
      <c r="BY25" s="256"/>
      <c r="BZ25" s="256">
        <f t="shared" si="4"/>
        <v>47816667.603</v>
      </c>
    </row>
    <row r="26" spans="1:78" ht="12.75">
      <c r="A26" s="268" t="s">
        <v>599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1291</v>
      </c>
      <c r="I26" s="10">
        <v>0</v>
      </c>
      <c r="J26" s="10">
        <v>0</v>
      </c>
      <c r="K26" s="10">
        <v>49350.023</v>
      </c>
      <c r="L26" s="10">
        <v>3373281.311</v>
      </c>
      <c r="M26" s="10">
        <v>0</v>
      </c>
      <c r="N26" s="10">
        <v>0</v>
      </c>
      <c r="O26" s="10">
        <v>70</v>
      </c>
      <c r="P26" s="10">
        <v>0</v>
      </c>
      <c r="Q26" s="10">
        <v>0</v>
      </c>
      <c r="R26" s="10">
        <v>0</v>
      </c>
      <c r="S26" s="10">
        <v>0</v>
      </c>
      <c r="T26" s="10"/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5093.801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240"/>
      <c r="BQ26" s="240"/>
      <c r="BR26" s="240"/>
      <c r="BS26" s="256">
        <f t="shared" si="0"/>
        <v>3429086.1350000002</v>
      </c>
      <c r="BT26" s="256">
        <f t="shared" si="5"/>
        <v>0</v>
      </c>
      <c r="BU26" s="256">
        <f t="shared" si="1"/>
        <v>50711.023</v>
      </c>
      <c r="BV26" s="256">
        <f t="shared" si="6"/>
        <v>3373281.311</v>
      </c>
      <c r="BW26" s="256">
        <f t="shared" si="2"/>
        <v>3423992.3340000003</v>
      </c>
      <c r="BX26" s="256">
        <f t="shared" si="3"/>
        <v>5093.801</v>
      </c>
      <c r="BY26" s="256"/>
      <c r="BZ26" s="256">
        <f t="shared" si="4"/>
        <v>3429086.1350000002</v>
      </c>
    </row>
    <row r="27" spans="1:78" ht="12.75">
      <c r="A27" s="259" t="s">
        <v>600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413269.885</v>
      </c>
      <c r="I27" s="12">
        <v>241387.206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776209.143</v>
      </c>
      <c r="R27" s="12">
        <v>0</v>
      </c>
      <c r="S27" s="12">
        <v>43806</v>
      </c>
      <c r="T27" s="12">
        <v>0</v>
      </c>
      <c r="U27" s="12">
        <v>305832.219</v>
      </c>
      <c r="V27" s="12">
        <v>0</v>
      </c>
      <c r="W27" s="12">
        <v>0</v>
      </c>
      <c r="X27" s="12">
        <v>775024.193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1692.315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11437.092</v>
      </c>
      <c r="AQ27" s="12">
        <v>0</v>
      </c>
      <c r="AR27" s="12">
        <v>0</v>
      </c>
      <c r="AS27" s="12">
        <v>0</v>
      </c>
      <c r="AT27" s="12">
        <v>121639.671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1494</v>
      </c>
      <c r="BM27" s="12">
        <v>0</v>
      </c>
      <c r="BN27" s="12">
        <v>0</v>
      </c>
      <c r="BO27" s="12">
        <v>0</v>
      </c>
      <c r="BP27" s="241"/>
      <c r="BQ27" s="241"/>
      <c r="BR27" s="241"/>
      <c r="BS27" s="256">
        <f t="shared" si="0"/>
        <v>2691791.7240000004</v>
      </c>
      <c r="BT27" s="256">
        <f t="shared" si="5"/>
        <v>318763.311</v>
      </c>
      <c r="BU27" s="256">
        <f t="shared" si="1"/>
        <v>2129948.892</v>
      </c>
      <c r="BV27" s="256">
        <f t="shared" si="6"/>
        <v>243079.521</v>
      </c>
      <c r="BW27" s="256">
        <f t="shared" si="2"/>
        <v>2691791.724</v>
      </c>
      <c r="BX27" s="256">
        <f t="shared" si="3"/>
        <v>0</v>
      </c>
      <c r="BY27" s="256"/>
      <c r="BZ27" s="256">
        <f t="shared" si="4"/>
        <v>2691791.724</v>
      </c>
    </row>
    <row r="28" spans="1:78" ht="12.75">
      <c r="A28" s="268" t="s">
        <v>595</v>
      </c>
      <c r="B28" s="12">
        <v>0</v>
      </c>
      <c r="C28" s="12">
        <v>32033.061</v>
      </c>
      <c r="D28" s="12">
        <v>19797.056</v>
      </c>
      <c r="E28" s="12">
        <v>9500.187</v>
      </c>
      <c r="F28" s="12">
        <v>27620.322</v>
      </c>
      <c r="G28" s="12">
        <v>0</v>
      </c>
      <c r="H28" s="12">
        <v>0</v>
      </c>
      <c r="I28" s="12">
        <v>21606.102</v>
      </c>
      <c r="J28" s="12">
        <v>75916.48</v>
      </c>
      <c r="K28" s="12">
        <v>19495.189</v>
      </c>
      <c r="L28" s="12">
        <v>0</v>
      </c>
      <c r="M28" s="12">
        <v>28531.494</v>
      </c>
      <c r="N28" s="12">
        <v>156966.413</v>
      </c>
      <c r="O28" s="12">
        <v>15866.379</v>
      </c>
      <c r="P28" s="12">
        <v>0</v>
      </c>
      <c r="Q28" s="12">
        <v>5777.46</v>
      </c>
      <c r="R28" s="12">
        <v>0</v>
      </c>
      <c r="S28" s="12">
        <v>0</v>
      </c>
      <c r="T28" s="12">
        <v>7200</v>
      </c>
      <c r="U28" s="12">
        <v>0</v>
      </c>
      <c r="V28" s="12">
        <v>0</v>
      </c>
      <c r="W28" s="12">
        <v>0</v>
      </c>
      <c r="X28" s="12">
        <v>305.012</v>
      </c>
      <c r="Y28" s="12">
        <v>0</v>
      </c>
      <c r="Z28" s="12">
        <v>0</v>
      </c>
      <c r="AA28" s="12">
        <v>0</v>
      </c>
      <c r="AB28" s="12">
        <v>11500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663</v>
      </c>
      <c r="AL28" s="12">
        <v>0</v>
      </c>
      <c r="AM28" s="12">
        <v>0</v>
      </c>
      <c r="AN28" s="12">
        <v>14068.919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9606.083</v>
      </c>
      <c r="AU28" s="12">
        <v>0</v>
      </c>
      <c r="AV28" s="12">
        <v>0</v>
      </c>
      <c r="AW28" s="12">
        <v>680.102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240"/>
      <c r="BQ28" s="240"/>
      <c r="BR28" s="240"/>
      <c r="BS28" s="256">
        <f t="shared" si="0"/>
        <v>457133.259</v>
      </c>
      <c r="BT28" s="256">
        <f t="shared" si="5"/>
        <v>46782.082</v>
      </c>
      <c r="BU28" s="256">
        <f t="shared" si="1"/>
        <v>202915.47499999998</v>
      </c>
      <c r="BV28" s="256">
        <f t="shared" si="6"/>
        <v>207435.702</v>
      </c>
      <c r="BW28" s="256">
        <f t="shared" si="2"/>
        <v>457133.25899999996</v>
      </c>
      <c r="BX28" s="256">
        <f t="shared" si="3"/>
        <v>0</v>
      </c>
      <c r="BY28" s="256"/>
      <c r="BZ28" s="256">
        <f t="shared" si="4"/>
        <v>457133.25899999996</v>
      </c>
    </row>
    <row r="29" spans="1:78" s="86" customFormat="1" ht="12.75">
      <c r="A29" s="264" t="s">
        <v>519</v>
      </c>
      <c r="B29" s="226">
        <f>SUM(B23:B28)</f>
        <v>52433868.28400001</v>
      </c>
      <c r="C29" s="226">
        <f aca="true" t="shared" si="7" ref="C29:AP29">SUM(C23:C28)</f>
        <v>33221558.902</v>
      </c>
      <c r="D29" s="226">
        <f t="shared" si="7"/>
        <v>32931900.220000003</v>
      </c>
      <c r="E29" s="226">
        <f t="shared" si="7"/>
        <v>28229822.843000002</v>
      </c>
      <c r="F29" s="226">
        <f t="shared" si="7"/>
        <v>27392506.833</v>
      </c>
      <c r="G29" s="226">
        <f t="shared" si="7"/>
        <v>13136207.591</v>
      </c>
      <c r="H29" s="226">
        <f>SUM(H23:H27)</f>
        <v>12844711.108</v>
      </c>
      <c r="I29" s="226">
        <f t="shared" si="7"/>
        <v>10737820.828999998</v>
      </c>
      <c r="J29" s="226">
        <f t="shared" si="7"/>
        <v>10303487.957</v>
      </c>
      <c r="K29" s="226">
        <f>SUM(K23:K28)</f>
        <v>9851893.083999999</v>
      </c>
      <c r="L29" s="226">
        <f t="shared" si="7"/>
        <v>9011092.862</v>
      </c>
      <c r="M29" s="226">
        <f t="shared" si="7"/>
        <v>8588748.395000001</v>
      </c>
      <c r="N29" s="226">
        <f aca="true" t="shared" si="8" ref="N29:U29">SUM(N23:N28)</f>
        <v>7520607.623</v>
      </c>
      <c r="O29" s="226">
        <f t="shared" si="8"/>
        <v>7093459.340999999</v>
      </c>
      <c r="P29" s="226">
        <f t="shared" si="8"/>
        <v>6329718.467</v>
      </c>
      <c r="Q29" s="226">
        <f t="shared" si="8"/>
        <v>6793444.691</v>
      </c>
      <c r="R29" s="226">
        <f t="shared" si="8"/>
        <v>5817958.056</v>
      </c>
      <c r="S29" s="226">
        <f t="shared" si="8"/>
        <v>4648745</v>
      </c>
      <c r="T29" s="226">
        <f t="shared" si="8"/>
        <v>4650054.807</v>
      </c>
      <c r="U29" s="226">
        <f t="shared" si="8"/>
        <v>4606363.950999999</v>
      </c>
      <c r="V29" s="226">
        <f t="shared" si="7"/>
        <v>4201498.951</v>
      </c>
      <c r="W29" s="226">
        <f t="shared" si="7"/>
        <v>4203081.941000001</v>
      </c>
      <c r="X29" s="226">
        <f t="shared" si="7"/>
        <v>3396038.233</v>
      </c>
      <c r="Y29" s="226">
        <f>SUM(Y23:Y28)</f>
        <v>3239899.846</v>
      </c>
      <c r="Z29" s="226">
        <f>SUM(Z23:Z28)</f>
        <v>3057797.978</v>
      </c>
      <c r="AA29" s="226">
        <f t="shared" si="7"/>
        <v>1672678.352</v>
      </c>
      <c r="AB29" s="226">
        <f>SUM(AB23:AB28)</f>
        <v>1675316.971</v>
      </c>
      <c r="AC29" s="226">
        <f>SUM(AC23:AC28)</f>
        <v>2276953.936</v>
      </c>
      <c r="AD29" s="226">
        <f>SUM(AD23:AD28)</f>
        <v>2121286.258</v>
      </c>
      <c r="AE29" s="226">
        <f>SUM(AE23:AE28)</f>
        <v>2015551.904</v>
      </c>
      <c r="AF29" s="226">
        <f t="shared" si="7"/>
        <v>1897444.335</v>
      </c>
      <c r="AG29" s="226">
        <f>SUM(AG23:AG28)</f>
        <v>1541217.48</v>
      </c>
      <c r="AH29" s="226">
        <f t="shared" si="7"/>
        <v>1523704.033</v>
      </c>
      <c r="AI29" s="226">
        <f t="shared" si="7"/>
        <v>1463039.768</v>
      </c>
      <c r="AJ29" s="226">
        <f t="shared" si="7"/>
        <v>1148908.01</v>
      </c>
      <c r="AK29" s="226">
        <f t="shared" si="7"/>
        <v>1196735.0960000001</v>
      </c>
      <c r="AL29" s="226">
        <f t="shared" si="7"/>
        <v>1097559.607</v>
      </c>
      <c r="AM29" s="226">
        <f t="shared" si="7"/>
        <v>981321.7140000002</v>
      </c>
      <c r="AN29" s="226">
        <f t="shared" si="7"/>
        <v>940146.5460000001</v>
      </c>
      <c r="AO29" s="226">
        <f>SUM(AO23:AO28)</f>
        <v>968465.332</v>
      </c>
      <c r="AP29" s="226">
        <f t="shared" si="7"/>
        <v>826251.1799999999</v>
      </c>
      <c r="AQ29" s="226">
        <f aca="true" t="shared" si="9" ref="AQ29:BO29">SUM(AQ23:AQ28)</f>
        <v>787263.7559999999</v>
      </c>
      <c r="AR29" s="226">
        <f t="shared" si="9"/>
        <v>767900.479</v>
      </c>
      <c r="AS29" s="226">
        <f t="shared" si="9"/>
        <v>752885.3509999999</v>
      </c>
      <c r="AT29" s="226">
        <f t="shared" si="9"/>
        <v>710501.066</v>
      </c>
      <c r="AU29" s="226">
        <f>SUM(AU23:AU28)</f>
        <v>445871.95900000003</v>
      </c>
      <c r="AV29" s="226">
        <f t="shared" si="9"/>
        <v>619900.0480000001</v>
      </c>
      <c r="AW29" s="226">
        <f t="shared" si="9"/>
        <v>605031.3369999999</v>
      </c>
      <c r="AX29" s="226">
        <f t="shared" si="9"/>
        <v>520627.924</v>
      </c>
      <c r="AY29" s="226">
        <f t="shared" si="9"/>
        <v>426618.71900000004</v>
      </c>
      <c r="AZ29" s="226">
        <f t="shared" si="9"/>
        <v>376381.466</v>
      </c>
      <c r="BA29" s="226">
        <f t="shared" si="9"/>
        <v>386162.892</v>
      </c>
      <c r="BB29" s="226">
        <f t="shared" si="9"/>
        <v>281298.098</v>
      </c>
      <c r="BC29" s="226">
        <f t="shared" si="9"/>
        <v>307337.78500000003</v>
      </c>
      <c r="BD29" s="226">
        <f t="shared" si="9"/>
        <v>220878.739</v>
      </c>
      <c r="BE29" s="226">
        <f t="shared" si="9"/>
        <v>117325.45000000001</v>
      </c>
      <c r="BF29" s="226">
        <f>SUM(BF23:BF28)</f>
        <v>155631.248</v>
      </c>
      <c r="BG29" s="226">
        <f t="shared" si="9"/>
        <v>136898.67</v>
      </c>
      <c r="BH29" s="226">
        <f t="shared" si="9"/>
        <v>120040.691</v>
      </c>
      <c r="BI29" s="226">
        <f t="shared" si="9"/>
        <v>117610.649</v>
      </c>
      <c r="BJ29" s="226">
        <f t="shared" si="9"/>
        <v>102472.666</v>
      </c>
      <c r="BK29" s="226">
        <f t="shared" si="9"/>
        <v>50923.454000000005</v>
      </c>
      <c r="BL29" s="226">
        <f t="shared" si="9"/>
        <v>33011</v>
      </c>
      <c r="BM29" s="226">
        <f t="shared" si="9"/>
        <v>10646.8</v>
      </c>
      <c r="BN29" s="226">
        <f t="shared" si="9"/>
        <v>10578.341</v>
      </c>
      <c r="BO29" s="226">
        <f t="shared" si="9"/>
        <v>0</v>
      </c>
      <c r="BP29" s="226"/>
      <c r="BQ29" s="226"/>
      <c r="BR29" s="226"/>
      <c r="BS29" s="256">
        <f t="shared" si="0"/>
        <v>345652666.90299994</v>
      </c>
      <c r="BT29" s="256">
        <f t="shared" si="5"/>
        <v>58023934.530999996</v>
      </c>
      <c r="BU29" s="256">
        <f t="shared" si="1"/>
        <v>127167383.706</v>
      </c>
      <c r="BV29" s="256">
        <f t="shared" si="6"/>
        <v>145167592.10499996</v>
      </c>
      <c r="BW29" s="256">
        <f t="shared" si="2"/>
        <v>330358910.34199995</v>
      </c>
      <c r="BX29" s="256">
        <f t="shared" si="3"/>
        <v>15293756.561</v>
      </c>
      <c r="BY29" s="226"/>
      <c r="BZ29" s="256">
        <f t="shared" si="4"/>
        <v>345652666.90299994</v>
      </c>
    </row>
    <row r="30" spans="1:78" ht="15.75" customHeight="1">
      <c r="A30" s="332" t="s">
        <v>676</v>
      </c>
      <c r="B30" s="10">
        <f>B29+B20</f>
        <v>52584573.65600001</v>
      </c>
      <c r="C30" s="10">
        <f aca="true" t="shared" si="10" ref="C30:BN30">C29+C20</f>
        <v>33257577.518</v>
      </c>
      <c r="D30" s="10">
        <f t="shared" si="10"/>
        <v>32983765.004000004</v>
      </c>
      <c r="E30" s="10">
        <f t="shared" si="10"/>
        <v>28268221.813</v>
      </c>
      <c r="F30" s="10">
        <f t="shared" si="10"/>
        <v>27407587.983</v>
      </c>
      <c r="G30" s="10">
        <f t="shared" si="10"/>
        <v>13136207.591</v>
      </c>
      <c r="H30" s="10">
        <f t="shared" si="10"/>
        <v>12851779.905</v>
      </c>
      <c r="I30" s="10">
        <f t="shared" si="10"/>
        <v>10886852.434999999</v>
      </c>
      <c r="J30" s="10">
        <f t="shared" si="10"/>
        <v>10331824.554</v>
      </c>
      <c r="K30" s="10">
        <f t="shared" si="10"/>
        <v>9851893.083999999</v>
      </c>
      <c r="L30" s="10">
        <f t="shared" si="10"/>
        <v>9011092.862</v>
      </c>
      <c r="M30" s="10">
        <f t="shared" si="10"/>
        <v>8599591.493</v>
      </c>
      <c r="N30" s="10">
        <f t="shared" si="10"/>
        <v>7520607.623</v>
      </c>
      <c r="O30" s="10">
        <f t="shared" si="10"/>
        <v>7093459.340999999</v>
      </c>
      <c r="P30" s="10">
        <f t="shared" si="10"/>
        <v>6329718.467</v>
      </c>
      <c r="Q30" s="10">
        <f t="shared" si="10"/>
        <v>6818019.549</v>
      </c>
      <c r="R30" s="10">
        <f t="shared" si="10"/>
        <v>5854654.3889999995</v>
      </c>
      <c r="S30" s="10">
        <f t="shared" si="10"/>
        <v>4648745</v>
      </c>
      <c r="T30" s="10">
        <f t="shared" si="10"/>
        <v>4650054.807</v>
      </c>
      <c r="U30" s="10">
        <f t="shared" si="10"/>
        <v>4606363.950999999</v>
      </c>
      <c r="V30" s="10">
        <f t="shared" si="10"/>
        <v>4209503.087</v>
      </c>
      <c r="W30" s="10">
        <f t="shared" si="10"/>
        <v>4203081.941000001</v>
      </c>
      <c r="X30" s="10">
        <f t="shared" si="10"/>
        <v>3401822.678</v>
      </c>
      <c r="Y30" s="10">
        <f t="shared" si="10"/>
        <v>3239899.846</v>
      </c>
      <c r="Z30" s="10">
        <f t="shared" si="10"/>
        <v>3057797.978</v>
      </c>
      <c r="AA30" s="10">
        <f t="shared" si="10"/>
        <v>1672678.352</v>
      </c>
      <c r="AB30" s="10">
        <f t="shared" si="10"/>
        <v>1675316.971</v>
      </c>
      <c r="AC30" s="10">
        <f t="shared" si="10"/>
        <v>2276953.936</v>
      </c>
      <c r="AD30" s="10">
        <f t="shared" si="10"/>
        <v>2121286.258</v>
      </c>
      <c r="AE30" s="10">
        <f t="shared" si="10"/>
        <v>2017421.56</v>
      </c>
      <c r="AF30" s="10">
        <f t="shared" si="10"/>
        <v>1897444.335</v>
      </c>
      <c r="AG30" s="10">
        <f t="shared" si="10"/>
        <v>1541217.48</v>
      </c>
      <c r="AH30" s="10">
        <f t="shared" si="10"/>
        <v>1526382.9710000001</v>
      </c>
      <c r="AI30" s="10">
        <f t="shared" si="10"/>
        <v>1463039.768</v>
      </c>
      <c r="AJ30" s="10">
        <f t="shared" si="10"/>
        <v>1159055.968</v>
      </c>
      <c r="AK30" s="10">
        <f t="shared" si="10"/>
        <v>1196735.0960000001</v>
      </c>
      <c r="AL30" s="10">
        <f t="shared" si="10"/>
        <v>1097559.607</v>
      </c>
      <c r="AM30" s="10">
        <f t="shared" si="10"/>
        <v>981321.7140000002</v>
      </c>
      <c r="AN30" s="10">
        <f t="shared" si="10"/>
        <v>940146.5460000001</v>
      </c>
      <c r="AO30" s="10">
        <f t="shared" si="10"/>
        <v>968465.332</v>
      </c>
      <c r="AP30" s="10">
        <f t="shared" si="10"/>
        <v>826251.1799999999</v>
      </c>
      <c r="AQ30" s="10">
        <f t="shared" si="10"/>
        <v>787263.7559999999</v>
      </c>
      <c r="AR30" s="10">
        <f t="shared" si="10"/>
        <v>767900.479</v>
      </c>
      <c r="AS30" s="10">
        <f t="shared" si="10"/>
        <v>752885.3509999999</v>
      </c>
      <c r="AT30" s="10">
        <f t="shared" si="10"/>
        <v>725793.697</v>
      </c>
      <c r="AU30" s="10">
        <f t="shared" si="10"/>
        <v>481890.575</v>
      </c>
      <c r="AV30" s="10">
        <f t="shared" si="10"/>
        <v>619900.0480000001</v>
      </c>
      <c r="AW30" s="10">
        <f t="shared" si="10"/>
        <v>605031.3369999999</v>
      </c>
      <c r="AX30" s="10">
        <f t="shared" si="10"/>
        <v>520627.924</v>
      </c>
      <c r="AY30" s="10">
        <f t="shared" si="10"/>
        <v>426618.71900000004</v>
      </c>
      <c r="AZ30" s="10">
        <f t="shared" si="10"/>
        <v>376381.466</v>
      </c>
      <c r="BA30" s="10">
        <f t="shared" si="10"/>
        <v>386162.892</v>
      </c>
      <c r="BB30" s="10">
        <f t="shared" si="10"/>
        <v>281298.098</v>
      </c>
      <c r="BC30" s="10">
        <f t="shared" si="10"/>
        <v>307337.78500000003</v>
      </c>
      <c r="BD30" s="10">
        <f t="shared" si="10"/>
        <v>220878.739</v>
      </c>
      <c r="BE30" s="10">
        <f t="shared" si="10"/>
        <v>117325.45000000001</v>
      </c>
      <c r="BF30" s="10">
        <f t="shared" si="10"/>
        <v>155631.248</v>
      </c>
      <c r="BG30" s="10">
        <f t="shared" si="10"/>
        <v>136898.67</v>
      </c>
      <c r="BH30" s="10">
        <f t="shared" si="10"/>
        <v>120040.691</v>
      </c>
      <c r="BI30" s="10">
        <f t="shared" si="10"/>
        <v>117610.649</v>
      </c>
      <c r="BJ30" s="10">
        <f t="shared" si="10"/>
        <v>102472.666</v>
      </c>
      <c r="BK30" s="10">
        <f t="shared" si="10"/>
        <v>50923.454000000005</v>
      </c>
      <c r="BL30" s="10">
        <f t="shared" si="10"/>
        <v>33011</v>
      </c>
      <c r="BM30" s="10">
        <f t="shared" si="10"/>
        <v>10646.8</v>
      </c>
      <c r="BN30" s="10">
        <f t="shared" si="10"/>
        <v>10578.341</v>
      </c>
      <c r="BO30" s="10">
        <f>BO29+BO20</f>
        <v>0</v>
      </c>
      <c r="BP30" s="10"/>
      <c r="BQ30" s="10"/>
      <c r="BR30" s="10"/>
      <c r="BS30" s="256">
        <f t="shared" si="0"/>
        <v>346281083.4640001</v>
      </c>
      <c r="BT30" s="256">
        <f t="shared" si="5"/>
        <v>58067957.283</v>
      </c>
      <c r="BU30" s="256">
        <f t="shared" si="1"/>
        <v>127336378.024</v>
      </c>
      <c r="BV30" s="256">
        <f t="shared" si="6"/>
        <v>145582991.59599996</v>
      </c>
      <c r="BW30" s="256">
        <f t="shared" si="2"/>
        <v>330987326.903</v>
      </c>
      <c r="BX30" s="256">
        <f t="shared" si="3"/>
        <v>15293756.561</v>
      </c>
      <c r="BY30" s="256"/>
      <c r="BZ30" s="256">
        <f t="shared" si="4"/>
        <v>346281083.464</v>
      </c>
    </row>
    <row r="31" spans="1:78" ht="12.75">
      <c r="A31" s="263" t="s">
        <v>601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256"/>
      <c r="BT31" s="256"/>
      <c r="BU31" s="256"/>
      <c r="BV31" s="256"/>
      <c r="BW31" s="256"/>
      <c r="BX31" s="256"/>
      <c r="BY31" s="256"/>
      <c r="BZ31" s="256"/>
    </row>
    <row r="32" spans="1:78" ht="12.75">
      <c r="A32" s="266" t="s">
        <v>602</v>
      </c>
      <c r="B32" s="10">
        <v>332000</v>
      </c>
      <c r="C32" s="10">
        <v>67641.723</v>
      </c>
      <c r="D32" s="10">
        <v>190000</v>
      </c>
      <c r="E32" s="10">
        <v>203433.618</v>
      </c>
      <c r="F32" s="10">
        <v>79805.215</v>
      </c>
      <c r="G32" s="10">
        <v>503.393</v>
      </c>
      <c r="H32" s="10">
        <v>45218.871</v>
      </c>
      <c r="I32" s="10">
        <v>37580.26</v>
      </c>
      <c r="J32" s="10">
        <v>100386.852</v>
      </c>
      <c r="K32" s="10">
        <v>79500</v>
      </c>
      <c r="L32" s="10">
        <v>48139.856</v>
      </c>
      <c r="M32" s="10">
        <v>156794.35</v>
      </c>
      <c r="N32" s="10">
        <v>54245.082</v>
      </c>
      <c r="O32" s="10">
        <v>77000</v>
      </c>
      <c r="P32" s="10">
        <v>0</v>
      </c>
      <c r="Q32" s="10">
        <v>69914.526</v>
      </c>
      <c r="R32" s="10">
        <v>47331.532</v>
      </c>
      <c r="S32" s="10">
        <v>39574</v>
      </c>
      <c r="T32" s="10">
        <v>25938.751</v>
      </c>
      <c r="U32" s="10">
        <v>42400.653</v>
      </c>
      <c r="V32" s="10">
        <v>29119.435</v>
      </c>
      <c r="W32" s="10">
        <v>0</v>
      </c>
      <c r="X32" s="10">
        <v>30047</v>
      </c>
      <c r="Y32" s="10">
        <v>0</v>
      </c>
      <c r="Z32" s="10">
        <v>0</v>
      </c>
      <c r="AA32" s="10">
        <v>717739.66</v>
      </c>
      <c r="AB32" s="10">
        <v>45335.562</v>
      </c>
      <c r="AC32" s="10">
        <v>0</v>
      </c>
      <c r="AD32" s="10">
        <v>23166.786</v>
      </c>
      <c r="AE32" s="10">
        <v>4158.937</v>
      </c>
      <c r="AF32" s="10">
        <v>10226.154</v>
      </c>
      <c r="AG32" s="10">
        <v>0</v>
      </c>
      <c r="AH32" s="10">
        <v>10693.113</v>
      </c>
      <c r="AI32" s="10">
        <v>5574.818</v>
      </c>
      <c r="AJ32" s="10">
        <v>7985.608</v>
      </c>
      <c r="AK32" s="10">
        <v>0</v>
      </c>
      <c r="AL32" s="10">
        <v>11012.049</v>
      </c>
      <c r="AM32" s="10">
        <v>11183.671</v>
      </c>
      <c r="AN32" s="10">
        <v>23299.961</v>
      </c>
      <c r="AO32" s="10">
        <v>0</v>
      </c>
      <c r="AP32" s="10">
        <v>12.859</v>
      </c>
      <c r="AQ32" s="10">
        <v>0</v>
      </c>
      <c r="AR32" s="10">
        <v>4665.919</v>
      </c>
      <c r="AS32" s="10">
        <v>0</v>
      </c>
      <c r="AT32" s="10">
        <v>9005.928</v>
      </c>
      <c r="AU32" s="10">
        <v>37416.703</v>
      </c>
      <c r="AV32" s="10">
        <v>0</v>
      </c>
      <c r="AW32" s="10">
        <v>2401.176</v>
      </c>
      <c r="AX32" s="10">
        <v>0</v>
      </c>
      <c r="AY32" s="10">
        <v>0</v>
      </c>
      <c r="AZ32" s="10">
        <v>0</v>
      </c>
      <c r="BA32" s="10">
        <v>0</v>
      </c>
      <c r="BB32" s="10">
        <v>1396.061</v>
      </c>
      <c r="BC32" s="10">
        <v>0</v>
      </c>
      <c r="BD32" s="10">
        <v>43.401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479.55</v>
      </c>
      <c r="BL32" s="10">
        <v>5303</v>
      </c>
      <c r="BM32" s="10">
        <v>0</v>
      </c>
      <c r="BN32" s="10">
        <v>10933.998</v>
      </c>
      <c r="BO32" s="10">
        <v>0</v>
      </c>
      <c r="BP32" s="10"/>
      <c r="BQ32" s="10"/>
      <c r="BR32" s="10"/>
      <c r="BS32" s="256">
        <f t="shared" si="0"/>
        <v>2698610.0310000004</v>
      </c>
      <c r="BT32" s="256">
        <f t="shared" si="5"/>
        <v>938830.336</v>
      </c>
      <c r="BU32" s="256">
        <f t="shared" si="1"/>
        <v>890807.1679999998</v>
      </c>
      <c r="BV32" s="256">
        <f t="shared" si="6"/>
        <v>868972.5270000002</v>
      </c>
      <c r="BW32" s="256">
        <f t="shared" si="2"/>
        <v>2698610.031</v>
      </c>
      <c r="BX32" s="256">
        <f t="shared" si="3"/>
        <v>0</v>
      </c>
      <c r="BY32" s="256"/>
      <c r="BZ32" s="256">
        <f t="shared" si="4"/>
        <v>2698610.031</v>
      </c>
    </row>
    <row r="33" spans="1:78" ht="12.75">
      <c r="A33" s="266" t="s">
        <v>603</v>
      </c>
      <c r="B33" s="10">
        <v>36573.842</v>
      </c>
      <c r="C33" s="10">
        <v>489242.825</v>
      </c>
      <c r="D33" s="10">
        <v>30832.171</v>
      </c>
      <c r="E33" s="10">
        <v>19347.108</v>
      </c>
      <c r="F33" s="10">
        <v>7313.692</v>
      </c>
      <c r="G33" s="10">
        <v>0</v>
      </c>
      <c r="H33" s="10">
        <v>2425.548</v>
      </c>
      <c r="I33" s="10">
        <v>14464.17</v>
      </c>
      <c r="J33" s="10">
        <v>14985.329</v>
      </c>
      <c r="K33" s="10">
        <v>61693.118</v>
      </c>
      <c r="L33" s="10">
        <v>1756.772</v>
      </c>
      <c r="M33" s="10">
        <v>6826.956</v>
      </c>
      <c r="N33" s="10">
        <v>49438.565</v>
      </c>
      <c r="O33" s="10">
        <v>1093.933</v>
      </c>
      <c r="P33" s="10">
        <v>1875.659</v>
      </c>
      <c r="Q33" s="10">
        <v>874.077</v>
      </c>
      <c r="R33" s="10">
        <v>2517.315</v>
      </c>
      <c r="S33" s="10">
        <v>4876</v>
      </c>
      <c r="T33" s="10">
        <v>118.41</v>
      </c>
      <c r="U33" s="10">
        <v>0</v>
      </c>
      <c r="V33" s="10">
        <v>15787.067</v>
      </c>
      <c r="W33" s="10">
        <v>336.79</v>
      </c>
      <c r="X33" s="10">
        <v>0</v>
      </c>
      <c r="Y33" s="10">
        <v>1780.399</v>
      </c>
      <c r="Z33" s="10">
        <v>354.74</v>
      </c>
      <c r="AA33" s="10">
        <f>60362.046+1025.959</f>
        <v>61388.005000000005</v>
      </c>
      <c r="AB33" s="10">
        <v>0</v>
      </c>
      <c r="AC33" s="10">
        <v>0</v>
      </c>
      <c r="AD33" s="10">
        <v>0</v>
      </c>
      <c r="AE33" s="10">
        <v>0</v>
      </c>
      <c r="AF33" s="10">
        <v>4.473</v>
      </c>
      <c r="AG33" s="10">
        <v>0</v>
      </c>
      <c r="AH33" s="10">
        <v>3.5</v>
      </c>
      <c r="AI33" s="10">
        <v>479.101</v>
      </c>
      <c r="AJ33" s="10">
        <v>5226.756</v>
      </c>
      <c r="AK33" s="10">
        <v>0</v>
      </c>
      <c r="AL33" s="10">
        <v>0</v>
      </c>
      <c r="AM33" s="10">
        <v>0</v>
      </c>
      <c r="AN33" s="10">
        <v>628.138</v>
      </c>
      <c r="AO33" s="10">
        <v>204.62</v>
      </c>
      <c r="AP33" s="10">
        <v>0</v>
      </c>
      <c r="AQ33" s="10">
        <v>0</v>
      </c>
      <c r="AR33" s="10">
        <v>115.535</v>
      </c>
      <c r="AS33" s="10">
        <v>0</v>
      </c>
      <c r="AT33" s="10">
        <v>6545.606</v>
      </c>
      <c r="AU33" s="10">
        <v>8984.957</v>
      </c>
      <c r="AV33" s="10">
        <v>0</v>
      </c>
      <c r="AW33" s="10">
        <v>46.462</v>
      </c>
      <c r="AX33" s="10">
        <v>0</v>
      </c>
      <c r="AY33" s="10">
        <v>0</v>
      </c>
      <c r="AZ33" s="10">
        <v>0</v>
      </c>
      <c r="BA33" s="10">
        <v>4.225</v>
      </c>
      <c r="BB33" s="10">
        <v>0</v>
      </c>
      <c r="BC33" s="10">
        <v>394.147</v>
      </c>
      <c r="BD33" s="10">
        <v>0</v>
      </c>
      <c r="BE33" s="10">
        <v>16684.759</v>
      </c>
      <c r="BF33" s="10">
        <v>6238.856</v>
      </c>
      <c r="BG33" s="10">
        <v>137.072</v>
      </c>
      <c r="BH33" s="10">
        <v>106.833</v>
      </c>
      <c r="BI33" s="10">
        <v>0</v>
      </c>
      <c r="BJ33" s="10">
        <v>3645.926</v>
      </c>
      <c r="BK33" s="10">
        <v>0</v>
      </c>
      <c r="BL33" s="10">
        <v>0</v>
      </c>
      <c r="BM33" s="10">
        <v>0</v>
      </c>
      <c r="BN33" s="10">
        <v>246.99</v>
      </c>
      <c r="BO33" s="10">
        <v>1645.443</v>
      </c>
      <c r="BP33" s="10"/>
      <c r="BQ33" s="10"/>
      <c r="BR33" s="10"/>
      <c r="BS33" s="256">
        <f t="shared" si="0"/>
        <v>877245.8900000004</v>
      </c>
      <c r="BT33" s="256">
        <f t="shared" si="5"/>
        <v>587772.189</v>
      </c>
      <c r="BU33" s="256">
        <f t="shared" si="1"/>
        <v>143172.287</v>
      </c>
      <c r="BV33" s="256">
        <f t="shared" si="6"/>
        <v>139837.642</v>
      </c>
      <c r="BW33" s="256">
        <f t="shared" si="2"/>
        <v>870782.118</v>
      </c>
      <c r="BX33" s="256">
        <f t="shared" si="3"/>
        <v>6463.772</v>
      </c>
      <c r="BY33" s="256"/>
      <c r="BZ33" s="256">
        <f t="shared" si="4"/>
        <v>877245.89</v>
      </c>
    </row>
    <row r="34" spans="1:78" s="86" customFormat="1" ht="12.75">
      <c r="A34" s="264" t="s">
        <v>520</v>
      </c>
      <c r="B34" s="226">
        <f>SUM(B32:B33)</f>
        <v>368573.842</v>
      </c>
      <c r="C34" s="226">
        <f aca="true" t="shared" si="11" ref="C34:AP34">SUM(C32:C33)</f>
        <v>556884.548</v>
      </c>
      <c r="D34" s="226">
        <f t="shared" si="11"/>
        <v>220832.171</v>
      </c>
      <c r="E34" s="226">
        <f t="shared" si="11"/>
        <v>222780.726</v>
      </c>
      <c r="F34" s="226">
        <f t="shared" si="11"/>
        <v>87118.90699999999</v>
      </c>
      <c r="G34" s="226">
        <f t="shared" si="11"/>
        <v>503.393</v>
      </c>
      <c r="H34" s="226">
        <f t="shared" si="11"/>
        <v>47644.419</v>
      </c>
      <c r="I34" s="226">
        <f t="shared" si="11"/>
        <v>52044.43</v>
      </c>
      <c r="J34" s="226">
        <f t="shared" si="11"/>
        <v>115372.181</v>
      </c>
      <c r="K34" s="226">
        <f>SUM(K32:K33)</f>
        <v>141193.11800000002</v>
      </c>
      <c r="L34" s="226">
        <f t="shared" si="11"/>
        <v>49896.628</v>
      </c>
      <c r="M34" s="226">
        <f t="shared" si="11"/>
        <v>163621.306</v>
      </c>
      <c r="N34" s="226">
        <f aca="true" t="shared" si="12" ref="N34:U34">SUM(N32:N33)</f>
        <v>103683.647</v>
      </c>
      <c r="O34" s="226">
        <f t="shared" si="12"/>
        <v>78093.933</v>
      </c>
      <c r="P34" s="226">
        <f t="shared" si="12"/>
        <v>1875.659</v>
      </c>
      <c r="Q34" s="226">
        <f t="shared" si="12"/>
        <v>70788.603</v>
      </c>
      <c r="R34" s="226">
        <f t="shared" si="12"/>
        <v>49848.847</v>
      </c>
      <c r="S34" s="226">
        <f t="shared" si="12"/>
        <v>44450</v>
      </c>
      <c r="T34" s="226">
        <f t="shared" si="12"/>
        <v>26057.161</v>
      </c>
      <c r="U34" s="226">
        <f t="shared" si="12"/>
        <v>42400.653</v>
      </c>
      <c r="V34" s="226">
        <f t="shared" si="11"/>
        <v>44906.502</v>
      </c>
      <c r="W34" s="226">
        <f t="shared" si="11"/>
        <v>336.79</v>
      </c>
      <c r="X34" s="226">
        <f t="shared" si="11"/>
        <v>30047</v>
      </c>
      <c r="Y34" s="226">
        <f>SUM(Y32:Y33)</f>
        <v>1780.399</v>
      </c>
      <c r="Z34" s="226">
        <f>SUM(Z32:Z33)</f>
        <v>354.74</v>
      </c>
      <c r="AA34" s="226">
        <f t="shared" si="11"/>
        <v>779127.665</v>
      </c>
      <c r="AB34" s="226">
        <f>SUM(AB32:AB33)</f>
        <v>45335.562</v>
      </c>
      <c r="AC34" s="226">
        <f>SUM(AC32:AC33)</f>
        <v>0</v>
      </c>
      <c r="AD34" s="226">
        <f>SUM(AD32:AD33)</f>
        <v>23166.786</v>
      </c>
      <c r="AE34" s="226">
        <f>SUM(AE32:AE33)</f>
        <v>4158.937</v>
      </c>
      <c r="AF34" s="226">
        <f t="shared" si="11"/>
        <v>10230.627</v>
      </c>
      <c r="AG34" s="226">
        <f>SUM(AG32:AG33)</f>
        <v>0</v>
      </c>
      <c r="AH34" s="226">
        <f t="shared" si="11"/>
        <v>10696.613</v>
      </c>
      <c r="AI34" s="226">
        <f t="shared" si="11"/>
        <v>6053.919</v>
      </c>
      <c r="AJ34" s="226">
        <f t="shared" si="11"/>
        <v>13212.364000000001</v>
      </c>
      <c r="AK34" s="226">
        <f t="shared" si="11"/>
        <v>0</v>
      </c>
      <c r="AL34" s="226">
        <f t="shared" si="11"/>
        <v>11012.049</v>
      </c>
      <c r="AM34" s="226">
        <f t="shared" si="11"/>
        <v>11183.671</v>
      </c>
      <c r="AN34" s="226">
        <f t="shared" si="11"/>
        <v>23928.099</v>
      </c>
      <c r="AO34" s="226">
        <f>SUM(AO32:AO33)</f>
        <v>204.62</v>
      </c>
      <c r="AP34" s="226">
        <f t="shared" si="11"/>
        <v>12.859</v>
      </c>
      <c r="AQ34" s="226">
        <f aca="true" t="shared" si="13" ref="AQ34:BJ34">SUM(AQ32:AQ33)</f>
        <v>0</v>
      </c>
      <c r="AR34" s="226">
        <f t="shared" si="13"/>
        <v>4781.454</v>
      </c>
      <c r="AS34" s="226">
        <f t="shared" si="13"/>
        <v>0</v>
      </c>
      <c r="AT34" s="226">
        <f t="shared" si="13"/>
        <v>15551.534</v>
      </c>
      <c r="AU34" s="226">
        <f>SUM(AU32:AU33)</f>
        <v>46401.66</v>
      </c>
      <c r="AV34" s="226">
        <f t="shared" si="13"/>
        <v>0</v>
      </c>
      <c r="AW34" s="226">
        <f t="shared" si="13"/>
        <v>2447.638</v>
      </c>
      <c r="AX34" s="226">
        <f t="shared" si="13"/>
        <v>0</v>
      </c>
      <c r="AY34" s="226">
        <f t="shared" si="13"/>
        <v>0</v>
      </c>
      <c r="AZ34" s="226">
        <f t="shared" si="13"/>
        <v>0</v>
      </c>
      <c r="BA34" s="226">
        <f t="shared" si="13"/>
        <v>4.225</v>
      </c>
      <c r="BB34" s="226">
        <f t="shared" si="13"/>
        <v>1396.061</v>
      </c>
      <c r="BC34" s="226">
        <f t="shared" si="13"/>
        <v>394.147</v>
      </c>
      <c r="BD34" s="226">
        <f t="shared" si="13"/>
        <v>43.401</v>
      </c>
      <c r="BE34" s="226">
        <f t="shared" si="13"/>
        <v>16684.759</v>
      </c>
      <c r="BF34" s="226">
        <f>SUM(BF32:BF33)</f>
        <v>6238.856</v>
      </c>
      <c r="BG34" s="226">
        <f t="shared" si="13"/>
        <v>137.072</v>
      </c>
      <c r="BH34" s="226">
        <f t="shared" si="13"/>
        <v>106.833</v>
      </c>
      <c r="BI34" s="226">
        <f t="shared" si="13"/>
        <v>0</v>
      </c>
      <c r="BJ34" s="226">
        <f t="shared" si="13"/>
        <v>3645.926</v>
      </c>
      <c r="BK34" s="226">
        <f>SUM(BK32:BK32)</f>
        <v>479.55</v>
      </c>
      <c r="BL34" s="226">
        <f>SUM(BL32:BL33)</f>
        <v>5303</v>
      </c>
      <c r="BM34" s="226">
        <f>SUM(BM32:BM33)</f>
        <v>0</v>
      </c>
      <c r="BN34" s="226">
        <f>SUM(BN32:BN33)</f>
        <v>11180.988</v>
      </c>
      <c r="BO34" s="226">
        <f>SUM(BO32:BO33)</f>
        <v>1645.443</v>
      </c>
      <c r="BP34" s="226"/>
      <c r="BQ34" s="226"/>
      <c r="BR34" s="226"/>
      <c r="BS34" s="256">
        <f t="shared" si="0"/>
        <v>3575855.921000001</v>
      </c>
      <c r="BT34" s="256">
        <f t="shared" si="5"/>
        <v>1526602.5250000001</v>
      </c>
      <c r="BU34" s="256">
        <f t="shared" si="1"/>
        <v>1033979.4549999998</v>
      </c>
      <c r="BV34" s="256">
        <f t="shared" si="6"/>
        <v>1008810.1690000001</v>
      </c>
      <c r="BW34" s="256">
        <f t="shared" si="2"/>
        <v>3569392.149</v>
      </c>
      <c r="BX34" s="256">
        <f t="shared" si="3"/>
        <v>6463.772</v>
      </c>
      <c r="BY34" s="226"/>
      <c r="BZ34" s="256">
        <f t="shared" si="4"/>
        <v>3575855.921</v>
      </c>
    </row>
    <row r="35" spans="1:78" ht="7.5" customHeight="1">
      <c r="A35" s="268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256"/>
      <c r="BT35" s="256"/>
      <c r="BU35" s="256"/>
      <c r="BV35" s="256"/>
      <c r="BW35" s="256"/>
      <c r="BX35" s="256"/>
      <c r="BY35" s="256"/>
      <c r="BZ35" s="256"/>
    </row>
    <row r="36" spans="1:78" ht="12.75">
      <c r="A36" s="263" t="s">
        <v>604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256"/>
      <c r="BT36" s="256"/>
      <c r="BU36" s="256"/>
      <c r="BV36" s="256"/>
      <c r="BW36" s="256"/>
      <c r="BX36" s="256"/>
      <c r="BY36" s="256"/>
      <c r="BZ36" s="256"/>
    </row>
    <row r="37" spans="1:78" ht="12.75">
      <c r="A37" s="268" t="s">
        <v>605</v>
      </c>
      <c r="B37" s="10">
        <v>64247.075</v>
      </c>
      <c r="C37" s="10">
        <v>0</v>
      </c>
      <c r="D37" s="10">
        <v>10103.012</v>
      </c>
      <c r="E37" s="10">
        <v>3876.624</v>
      </c>
      <c r="F37" s="10">
        <v>20263.811</v>
      </c>
      <c r="G37" s="10">
        <v>1076.759</v>
      </c>
      <c r="H37" s="10">
        <v>3539.869</v>
      </c>
      <c r="I37" s="10">
        <v>16620.16</v>
      </c>
      <c r="J37" s="10">
        <v>12978.09</v>
      </c>
      <c r="K37" s="10">
        <v>0</v>
      </c>
      <c r="L37" s="10">
        <v>0</v>
      </c>
      <c r="M37" s="10">
        <v>1161.03</v>
      </c>
      <c r="N37" s="10">
        <v>1191.106</v>
      </c>
      <c r="O37" s="10">
        <v>1704.098</v>
      </c>
      <c r="P37" s="10">
        <v>1187.158</v>
      </c>
      <c r="Q37" s="10">
        <v>5544.746</v>
      </c>
      <c r="R37" s="10">
        <v>1931.984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774.965</v>
      </c>
      <c r="Y37" s="10">
        <v>0</v>
      </c>
      <c r="Z37" s="10">
        <v>0</v>
      </c>
      <c r="AA37" s="10">
        <v>0</v>
      </c>
      <c r="AB37" s="10">
        <v>2849.668</v>
      </c>
      <c r="AC37" s="10">
        <v>0</v>
      </c>
      <c r="AD37" s="10">
        <v>0</v>
      </c>
      <c r="AE37" s="10">
        <v>1618.774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610.485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42.353</v>
      </c>
      <c r="BE37" s="10">
        <v>0</v>
      </c>
      <c r="BF37" s="10">
        <v>220.597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/>
      <c r="BQ37" s="10"/>
      <c r="BR37" s="10"/>
      <c r="BS37" s="256">
        <f t="shared" si="0"/>
        <v>151542.36400000003</v>
      </c>
      <c r="BT37" s="256">
        <f t="shared" si="5"/>
        <v>1229.511</v>
      </c>
      <c r="BU37" s="256">
        <f t="shared" si="1"/>
        <v>56680.106</v>
      </c>
      <c r="BV37" s="256">
        <f t="shared" si="6"/>
        <v>93632.747</v>
      </c>
      <c r="BW37" s="256">
        <f t="shared" si="2"/>
        <v>151542.364</v>
      </c>
      <c r="BX37" s="256">
        <f t="shared" si="3"/>
        <v>0</v>
      </c>
      <c r="BY37" s="256"/>
      <c r="BZ37" s="256">
        <f t="shared" si="4"/>
        <v>151542.364</v>
      </c>
    </row>
    <row r="38" spans="1:78" ht="12.75">
      <c r="A38" s="268" t="s">
        <v>606</v>
      </c>
      <c r="B38" s="10">
        <v>470229.569</v>
      </c>
      <c r="C38" s="10">
        <v>116366.93</v>
      </c>
      <c r="D38" s="10">
        <v>84233.07</v>
      </c>
      <c r="E38" s="10">
        <v>200887.68</v>
      </c>
      <c r="F38" s="10">
        <v>140626.559</v>
      </c>
      <c r="G38" s="10">
        <v>72617.241</v>
      </c>
      <c r="H38" s="10">
        <v>15931.978</v>
      </c>
      <c r="I38" s="10">
        <v>155771.88</v>
      </c>
      <c r="J38" s="10">
        <v>86643.687</v>
      </c>
      <c r="K38" s="10">
        <v>57773.286</v>
      </c>
      <c r="L38" s="10">
        <v>37955.339</v>
      </c>
      <c r="M38" s="10">
        <v>8228.393</v>
      </c>
      <c r="N38" s="10">
        <v>47678.429</v>
      </c>
      <c r="O38" s="10">
        <v>68313.99</v>
      </c>
      <c r="P38" s="10">
        <v>765815.038</v>
      </c>
      <c r="Q38" s="10">
        <v>45262.153</v>
      </c>
      <c r="R38" s="10">
        <v>187558.679</v>
      </c>
      <c r="S38" s="10">
        <v>199010</v>
      </c>
      <c r="T38" s="10">
        <v>103574.834</v>
      </c>
      <c r="U38" s="10">
        <v>52285.396</v>
      </c>
      <c r="V38" s="10">
        <v>35189.541</v>
      </c>
      <c r="W38" s="10">
        <v>48285.009</v>
      </c>
      <c r="X38" s="10">
        <v>9926.37</v>
      </c>
      <c r="Y38" s="10">
        <v>19952.924</v>
      </c>
      <c r="Z38" s="10">
        <v>8569.623</v>
      </c>
      <c r="AA38" s="10">
        <v>0</v>
      </c>
      <c r="AB38" s="10">
        <v>644162.598</v>
      </c>
      <c r="AC38" s="10">
        <v>36462.848</v>
      </c>
      <c r="AD38" s="10">
        <v>6896.695</v>
      </c>
      <c r="AE38" s="10">
        <v>4593.014</v>
      </c>
      <c r="AF38" s="10">
        <v>18329.51</v>
      </c>
      <c r="AG38" s="10">
        <v>973.258</v>
      </c>
      <c r="AH38" s="10">
        <v>2220.041</v>
      </c>
      <c r="AI38" s="10">
        <v>53782.286</v>
      </c>
      <c r="AJ38" s="10">
        <f>243.393+93445.139</f>
        <v>93688.53199999999</v>
      </c>
      <c r="AK38" s="10">
        <v>3586.035</v>
      </c>
      <c r="AL38" s="10">
        <v>7771.77</v>
      </c>
      <c r="AM38" s="10">
        <v>4288.654</v>
      </c>
      <c r="AN38" s="10">
        <v>11178.487</v>
      </c>
      <c r="AO38" s="10">
        <v>4685.833</v>
      </c>
      <c r="AP38" s="10">
        <v>3914.105</v>
      </c>
      <c r="AQ38" s="10">
        <v>2199.541</v>
      </c>
      <c r="AR38" s="10">
        <v>4930.655</v>
      </c>
      <c r="AS38" s="10">
        <v>3812.317</v>
      </c>
      <c r="AT38" s="10">
        <v>8088.152</v>
      </c>
      <c r="AU38" s="10">
        <v>134344.243</v>
      </c>
      <c r="AV38" s="10">
        <v>670.165</v>
      </c>
      <c r="AW38" s="10">
        <v>452.49</v>
      </c>
      <c r="AX38" s="10">
        <v>5855.232</v>
      </c>
      <c r="AY38" s="10">
        <v>2088.773</v>
      </c>
      <c r="AZ38" s="10">
        <v>14683.007</v>
      </c>
      <c r="BA38" s="10">
        <v>1059.924</v>
      </c>
      <c r="BB38" s="10">
        <v>69988.158</v>
      </c>
      <c r="BC38" s="10">
        <v>1098.863</v>
      </c>
      <c r="BD38" s="10">
        <v>11316.35</v>
      </c>
      <c r="BE38" s="10">
        <v>47976.356</v>
      </c>
      <c r="BF38" s="10">
        <v>5161.777</v>
      </c>
      <c r="BG38" s="10">
        <v>15322.412</v>
      </c>
      <c r="BH38" s="10">
        <v>29453.674</v>
      </c>
      <c r="BI38" s="10">
        <v>1172.829</v>
      </c>
      <c r="BJ38" s="10">
        <v>2362.429</v>
      </c>
      <c r="BK38" s="10">
        <v>46669.444</v>
      </c>
      <c r="BL38" s="10">
        <v>0</v>
      </c>
      <c r="BM38" s="10">
        <v>796.589</v>
      </c>
      <c r="BN38" s="10">
        <v>38778.859</v>
      </c>
      <c r="BO38" s="10">
        <v>7849.652</v>
      </c>
      <c r="BP38" s="10"/>
      <c r="BQ38" s="10"/>
      <c r="BR38" s="10"/>
      <c r="BS38" s="256">
        <f t="shared" si="0"/>
        <v>4391353.154999998</v>
      </c>
      <c r="BT38" s="256">
        <f t="shared" si="5"/>
        <v>1267391.3399999996</v>
      </c>
      <c r="BU38" s="256">
        <f t="shared" si="1"/>
        <v>871508.4559999999</v>
      </c>
      <c r="BV38" s="256">
        <f t="shared" si="6"/>
        <v>2144057.2600000002</v>
      </c>
      <c r="BW38" s="256">
        <f t="shared" si="2"/>
        <v>4282957.056</v>
      </c>
      <c r="BX38" s="256">
        <f t="shared" si="3"/>
        <v>108396.09899999997</v>
      </c>
      <c r="BY38" s="256"/>
      <c r="BZ38" s="256">
        <f t="shared" si="4"/>
        <v>4391353.155</v>
      </c>
    </row>
    <row r="39" spans="1:78" ht="12.75">
      <c r="A39" s="268" t="s">
        <v>607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31341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2317.12</v>
      </c>
      <c r="AH39" s="10">
        <v>0</v>
      </c>
      <c r="AI39" s="10">
        <v>0</v>
      </c>
      <c r="AJ39" s="10">
        <v>1479.397</v>
      </c>
      <c r="AK39" s="10">
        <v>0</v>
      </c>
      <c r="AL39" s="10">
        <v>0</v>
      </c>
      <c r="AM39" s="10">
        <v>21.519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3.5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210.223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/>
      <c r="BQ39" s="10"/>
      <c r="BR39" s="10"/>
      <c r="BS39" s="256">
        <f t="shared" si="0"/>
        <v>35372.759</v>
      </c>
      <c r="BT39" s="256">
        <f t="shared" si="5"/>
        <v>210.223</v>
      </c>
      <c r="BU39" s="256">
        <f t="shared" si="1"/>
        <v>32820.397</v>
      </c>
      <c r="BV39" s="256">
        <f t="shared" si="6"/>
        <v>21.519</v>
      </c>
      <c r="BW39" s="256">
        <f t="shared" si="2"/>
        <v>33052.138999999996</v>
      </c>
      <c r="BX39" s="256">
        <f t="shared" si="3"/>
        <v>2320.62</v>
      </c>
      <c r="BY39" s="256"/>
      <c r="BZ39" s="256">
        <f t="shared" si="4"/>
        <v>35372.759</v>
      </c>
    </row>
    <row r="40" spans="1:78" s="86" customFormat="1" ht="12.75">
      <c r="A40" s="264" t="s">
        <v>521</v>
      </c>
      <c r="B40" s="226">
        <f>SUM(B37:B39)</f>
        <v>534476.644</v>
      </c>
      <c r="C40" s="226">
        <f aca="true" t="shared" si="14" ref="C40:AP40">SUM(C37:C39)</f>
        <v>116366.93</v>
      </c>
      <c r="D40" s="226">
        <f t="shared" si="14"/>
        <v>94336.08200000001</v>
      </c>
      <c r="E40" s="226">
        <f t="shared" si="14"/>
        <v>204764.304</v>
      </c>
      <c r="F40" s="226">
        <f t="shared" si="14"/>
        <v>160890.37</v>
      </c>
      <c r="G40" s="226">
        <f t="shared" si="14"/>
        <v>73694</v>
      </c>
      <c r="H40" s="226">
        <f t="shared" si="14"/>
        <v>19471.846999999998</v>
      </c>
      <c r="I40" s="226">
        <f t="shared" si="14"/>
        <v>172392.04</v>
      </c>
      <c r="J40" s="226">
        <f t="shared" si="14"/>
        <v>99621.777</v>
      </c>
      <c r="K40" s="226">
        <f>SUM(K37:K39)</f>
        <v>57773.286</v>
      </c>
      <c r="L40" s="226">
        <f t="shared" si="14"/>
        <v>37955.339</v>
      </c>
      <c r="M40" s="226">
        <f t="shared" si="14"/>
        <v>9389.423</v>
      </c>
      <c r="N40" s="226">
        <f aca="true" t="shared" si="15" ref="N40:U40">SUM(N37:N39)</f>
        <v>48869.534999999996</v>
      </c>
      <c r="O40" s="226">
        <f t="shared" si="15"/>
        <v>70018.088</v>
      </c>
      <c r="P40" s="226">
        <f t="shared" si="15"/>
        <v>767002.196</v>
      </c>
      <c r="Q40" s="226">
        <f t="shared" si="15"/>
        <v>50806.899</v>
      </c>
      <c r="R40" s="226">
        <f t="shared" si="15"/>
        <v>189490.663</v>
      </c>
      <c r="S40" s="226">
        <f t="shared" si="15"/>
        <v>230351</v>
      </c>
      <c r="T40" s="226">
        <f t="shared" si="15"/>
        <v>103574.834</v>
      </c>
      <c r="U40" s="226">
        <f t="shared" si="15"/>
        <v>52285.396</v>
      </c>
      <c r="V40" s="226">
        <f t="shared" si="14"/>
        <v>35189.541</v>
      </c>
      <c r="W40" s="226">
        <f t="shared" si="14"/>
        <v>48285.009</v>
      </c>
      <c r="X40" s="226">
        <f t="shared" si="14"/>
        <v>10701.335000000001</v>
      </c>
      <c r="Y40" s="226">
        <f>SUM(Y37:Y39)</f>
        <v>19952.924</v>
      </c>
      <c r="Z40" s="226">
        <f>SUM(Z37:Z39)</f>
        <v>8569.623</v>
      </c>
      <c r="AA40" s="226">
        <f t="shared" si="14"/>
        <v>0</v>
      </c>
      <c r="AB40" s="226">
        <f>SUM(AB37:AB39)</f>
        <v>647012.266</v>
      </c>
      <c r="AC40" s="226">
        <f>SUM(AC37:AC39)</f>
        <v>36462.848</v>
      </c>
      <c r="AD40" s="226">
        <f>SUM(AD37:AD39)</f>
        <v>6896.695</v>
      </c>
      <c r="AE40" s="226">
        <f>SUM(AE37:AE39)</f>
        <v>6211.7880000000005</v>
      </c>
      <c r="AF40" s="226">
        <f t="shared" si="14"/>
        <v>18329.51</v>
      </c>
      <c r="AG40" s="226">
        <f>SUM(AG37:AG39)</f>
        <v>3290.3779999999997</v>
      </c>
      <c r="AH40" s="226">
        <f t="shared" si="14"/>
        <v>2220.041</v>
      </c>
      <c r="AI40" s="226">
        <f t="shared" si="14"/>
        <v>53782.286</v>
      </c>
      <c r="AJ40" s="226">
        <f t="shared" si="14"/>
        <v>95167.92899999999</v>
      </c>
      <c r="AK40" s="226">
        <f t="shared" si="14"/>
        <v>3586.035</v>
      </c>
      <c r="AL40" s="226">
        <f t="shared" si="14"/>
        <v>7771.77</v>
      </c>
      <c r="AM40" s="226">
        <f t="shared" si="14"/>
        <v>4310.173000000001</v>
      </c>
      <c r="AN40" s="226">
        <f t="shared" si="14"/>
        <v>11178.487</v>
      </c>
      <c r="AO40" s="226">
        <f>SUM(AO37:AO39)</f>
        <v>4685.833</v>
      </c>
      <c r="AP40" s="226">
        <f t="shared" si="14"/>
        <v>3914.105</v>
      </c>
      <c r="AQ40" s="226">
        <f aca="true" t="shared" si="16" ref="AQ40:BO40">SUM(AQ37:AQ39)</f>
        <v>2199.541</v>
      </c>
      <c r="AR40" s="226">
        <f t="shared" si="16"/>
        <v>4930.655</v>
      </c>
      <c r="AS40" s="226">
        <f t="shared" si="16"/>
        <v>3815.817</v>
      </c>
      <c r="AT40" s="226">
        <f t="shared" si="16"/>
        <v>8698.637</v>
      </c>
      <c r="AU40" s="226">
        <f>SUM(AU37:AU39)</f>
        <v>134344.243</v>
      </c>
      <c r="AV40" s="226">
        <f t="shared" si="16"/>
        <v>670.165</v>
      </c>
      <c r="AW40" s="226">
        <f t="shared" si="16"/>
        <v>452.49</v>
      </c>
      <c r="AX40" s="226">
        <f t="shared" si="16"/>
        <v>5855.232</v>
      </c>
      <c r="AY40" s="226">
        <f t="shared" si="16"/>
        <v>2088.773</v>
      </c>
      <c r="AZ40" s="226">
        <f t="shared" si="16"/>
        <v>14683.007</v>
      </c>
      <c r="BA40" s="226">
        <f t="shared" si="16"/>
        <v>1059.924</v>
      </c>
      <c r="BB40" s="226">
        <f t="shared" si="16"/>
        <v>69988.158</v>
      </c>
      <c r="BC40" s="226">
        <f t="shared" si="16"/>
        <v>1098.863</v>
      </c>
      <c r="BD40" s="226">
        <f t="shared" si="16"/>
        <v>11568.926</v>
      </c>
      <c r="BE40" s="226">
        <f t="shared" si="16"/>
        <v>47976.356</v>
      </c>
      <c r="BF40" s="226">
        <f>SUM(BF37:BF39)</f>
        <v>5382.374</v>
      </c>
      <c r="BG40" s="226">
        <f t="shared" si="16"/>
        <v>15322.412</v>
      </c>
      <c r="BH40" s="226">
        <f t="shared" si="16"/>
        <v>29453.674</v>
      </c>
      <c r="BI40" s="226">
        <f t="shared" si="16"/>
        <v>1172.829</v>
      </c>
      <c r="BJ40" s="226">
        <f t="shared" si="16"/>
        <v>2362.429</v>
      </c>
      <c r="BK40" s="226">
        <f t="shared" si="16"/>
        <v>46669.444</v>
      </c>
      <c r="BL40" s="226">
        <f t="shared" si="16"/>
        <v>0</v>
      </c>
      <c r="BM40" s="226">
        <f t="shared" si="16"/>
        <v>796.589</v>
      </c>
      <c r="BN40" s="226">
        <f t="shared" si="16"/>
        <v>38778.859</v>
      </c>
      <c r="BO40" s="226">
        <f t="shared" si="16"/>
        <v>7849.652</v>
      </c>
      <c r="BP40" s="226"/>
      <c r="BQ40" s="226"/>
      <c r="BR40" s="226"/>
      <c r="BS40" s="256">
        <f t="shared" si="0"/>
        <v>4578268.277999999</v>
      </c>
      <c r="BT40" s="256">
        <f t="shared" si="5"/>
        <v>1268831.0739999993</v>
      </c>
      <c r="BU40" s="256">
        <f t="shared" si="1"/>
        <v>961008.9589999999</v>
      </c>
      <c r="BV40" s="256">
        <f t="shared" si="6"/>
        <v>2237711.5259999996</v>
      </c>
      <c r="BW40" s="256">
        <f t="shared" si="2"/>
        <v>4467551.5589999985</v>
      </c>
      <c r="BX40" s="256">
        <f t="shared" si="3"/>
        <v>110716.71899999997</v>
      </c>
      <c r="BY40" s="226"/>
      <c r="BZ40" s="256">
        <f t="shared" si="4"/>
        <v>4578268.277999998</v>
      </c>
    </row>
    <row r="41" spans="1:78" ht="7.5" customHeight="1">
      <c r="A41" s="26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256"/>
      <c r="BT41" s="256"/>
      <c r="BU41" s="256"/>
      <c r="BV41" s="256"/>
      <c r="BW41" s="256"/>
      <c r="BX41" s="256"/>
      <c r="BY41" s="256"/>
      <c r="BZ41" s="256"/>
    </row>
    <row r="42" spans="1:78" ht="12.75">
      <c r="A42" s="268" t="s">
        <v>591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1070.964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100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/>
      <c r="BQ42" s="10"/>
      <c r="BR42" s="10"/>
      <c r="BS42" s="256">
        <f t="shared" si="0"/>
        <v>1170.964</v>
      </c>
      <c r="BT42" s="256">
        <f t="shared" si="5"/>
        <v>0</v>
      </c>
      <c r="BU42" s="256">
        <f t="shared" si="1"/>
        <v>0</v>
      </c>
      <c r="BV42" s="256">
        <f t="shared" si="6"/>
        <v>1070.964</v>
      </c>
      <c r="BW42" s="256">
        <f t="shared" si="2"/>
        <v>1070.964</v>
      </c>
      <c r="BX42" s="256">
        <f t="shared" si="3"/>
        <v>100</v>
      </c>
      <c r="BY42" s="256"/>
      <c r="BZ42" s="256">
        <f t="shared" si="4"/>
        <v>1170.964</v>
      </c>
    </row>
    <row r="43" spans="1:78" ht="12.75">
      <c r="A43" s="268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256"/>
      <c r="BT43" s="256"/>
      <c r="BU43" s="256"/>
      <c r="BV43" s="256"/>
      <c r="BW43" s="256"/>
      <c r="BX43" s="256"/>
      <c r="BY43" s="256"/>
      <c r="BZ43" s="256"/>
    </row>
    <row r="44" spans="1:78" s="86" customFormat="1" ht="13.5">
      <c r="A44" s="271" t="s">
        <v>558</v>
      </c>
      <c r="B44" s="226">
        <f>B42+B40+B34+B29+B20+B17</f>
        <v>53487624.14200001</v>
      </c>
      <c r="C44" s="226">
        <f aca="true" t="shared" si="17" ref="C44:AP44">C42+C40+C34+C29+C20+C17</f>
        <v>33930828.99599999</v>
      </c>
      <c r="D44" s="226">
        <f t="shared" si="17"/>
        <v>33298933.257000003</v>
      </c>
      <c r="E44" s="226">
        <f t="shared" si="17"/>
        <v>28695766.843000002</v>
      </c>
      <c r="F44" s="226">
        <f t="shared" si="17"/>
        <v>27655597.259999998</v>
      </c>
      <c r="G44" s="226">
        <f t="shared" si="17"/>
        <v>13210404.984</v>
      </c>
      <c r="H44" s="226">
        <f t="shared" si="17"/>
        <v>12918896.171</v>
      </c>
      <c r="I44" s="226">
        <f t="shared" si="17"/>
        <v>11111288.905</v>
      </c>
      <c r="J44" s="226">
        <f t="shared" si="17"/>
        <v>10546818.512</v>
      </c>
      <c r="K44" s="226">
        <f>K42+K40+K34+K29+K20+K17</f>
        <v>10050859.487999998</v>
      </c>
      <c r="L44" s="226">
        <f t="shared" si="17"/>
        <v>9098944.829</v>
      </c>
      <c r="M44" s="226">
        <f t="shared" si="17"/>
        <v>8772602.222000001</v>
      </c>
      <c r="N44" s="226">
        <f aca="true" t="shared" si="18" ref="N44:U44">N42+N40+N34+N29+N20+N17</f>
        <v>7673160.805</v>
      </c>
      <c r="O44" s="226">
        <f t="shared" si="18"/>
        <v>7241571.361999999</v>
      </c>
      <c r="P44" s="226">
        <f t="shared" si="18"/>
        <v>7098596.322000001</v>
      </c>
      <c r="Q44" s="226">
        <f t="shared" si="18"/>
        <v>6939615.051</v>
      </c>
      <c r="R44" s="226">
        <f t="shared" si="18"/>
        <v>6095064.863</v>
      </c>
      <c r="S44" s="226">
        <f t="shared" si="18"/>
        <v>4923546</v>
      </c>
      <c r="T44" s="226">
        <f t="shared" si="18"/>
        <v>4779686.802</v>
      </c>
      <c r="U44" s="226">
        <f t="shared" si="18"/>
        <v>4701049.999999999</v>
      </c>
      <c r="V44" s="226">
        <f t="shared" si="17"/>
        <v>4289599.13</v>
      </c>
      <c r="W44" s="226">
        <f t="shared" si="17"/>
        <v>4251703.74</v>
      </c>
      <c r="X44" s="226">
        <f t="shared" si="17"/>
        <v>3442571.013</v>
      </c>
      <c r="Y44" s="226">
        <f>Y42+Y40+Y34+Y29+Y20+Y17</f>
        <v>3261633.1689999998</v>
      </c>
      <c r="Z44" s="226">
        <f>Z42+Z40+Z34+Z29+Z20+Z17</f>
        <v>3066722.341</v>
      </c>
      <c r="AA44" s="226">
        <f t="shared" si="17"/>
        <v>2451806.017</v>
      </c>
      <c r="AB44" s="226">
        <f>AB42+AB40+AB34+AB29+AB20+AB17</f>
        <v>2367664.7989999996</v>
      </c>
      <c r="AC44" s="226">
        <f>AC42+AC40+AC34+AC29+AC20+AC17</f>
        <v>2313416.784</v>
      </c>
      <c r="AD44" s="226">
        <f>AD42+AD40+AD34+AD29+AD20+AD17</f>
        <v>2151349.739</v>
      </c>
      <c r="AE44" s="226">
        <f>AE42+AE40+AE34+AE29+AE20+AE17</f>
        <v>2027792.2850000001</v>
      </c>
      <c r="AF44" s="226">
        <f t="shared" si="17"/>
        <v>1926004.472</v>
      </c>
      <c r="AG44" s="226">
        <f>AG42+AG40+AG34+AG29+AG20+AG17</f>
        <v>1544507.858</v>
      </c>
      <c r="AH44" s="226">
        <f t="shared" si="17"/>
        <v>1539299.6250000002</v>
      </c>
      <c r="AI44" s="226">
        <f t="shared" si="17"/>
        <v>1522875.973</v>
      </c>
      <c r="AJ44" s="226">
        <f t="shared" si="17"/>
        <v>1267436.2610000002</v>
      </c>
      <c r="AK44" s="226">
        <f t="shared" si="17"/>
        <v>1200321.131</v>
      </c>
      <c r="AL44" s="226">
        <f t="shared" si="17"/>
        <v>1116343.426</v>
      </c>
      <c r="AM44" s="226">
        <f t="shared" si="17"/>
        <v>996815.5580000002</v>
      </c>
      <c r="AN44" s="226">
        <f t="shared" si="17"/>
        <v>975253.1320000001</v>
      </c>
      <c r="AO44" s="226">
        <f>AO42+AO40+AO34+AO29+AO20+AO17</f>
        <v>973355.785</v>
      </c>
      <c r="AP44" s="226">
        <f t="shared" si="17"/>
        <v>830178.144</v>
      </c>
      <c r="AQ44" s="226">
        <f aca="true" t="shared" si="19" ref="AQ44:BO44">AQ42+AQ40+AQ34+AQ29+AQ20+AQ17</f>
        <v>789463.2969999999</v>
      </c>
      <c r="AR44" s="226">
        <f t="shared" si="19"/>
        <v>777612.5880000001</v>
      </c>
      <c r="AS44" s="226">
        <f t="shared" si="19"/>
        <v>756701.168</v>
      </c>
      <c r="AT44" s="226">
        <f t="shared" si="19"/>
        <v>750043.868</v>
      </c>
      <c r="AU44" s="226">
        <f>AU42+AU40+AU34+AU29+AU20+AU17</f>
        <v>662636.478</v>
      </c>
      <c r="AV44" s="226">
        <f t="shared" si="19"/>
        <v>620570.2130000001</v>
      </c>
      <c r="AW44" s="226">
        <f t="shared" si="19"/>
        <v>607931.465</v>
      </c>
      <c r="AX44" s="226">
        <f t="shared" si="19"/>
        <v>526483.156</v>
      </c>
      <c r="AY44" s="226">
        <f t="shared" si="19"/>
        <v>428707.492</v>
      </c>
      <c r="AZ44" s="226">
        <f t="shared" si="19"/>
        <v>391064.473</v>
      </c>
      <c r="BA44" s="226">
        <f t="shared" si="19"/>
        <v>387327.04099999997</v>
      </c>
      <c r="BB44" s="226">
        <f t="shared" si="19"/>
        <v>352682.317</v>
      </c>
      <c r="BC44" s="226">
        <f t="shared" si="19"/>
        <v>308830.79500000004</v>
      </c>
      <c r="BD44" s="226">
        <f t="shared" si="19"/>
        <v>232491.066</v>
      </c>
      <c r="BE44" s="226">
        <f t="shared" si="19"/>
        <v>181986.565</v>
      </c>
      <c r="BF44" s="226">
        <f>BF42+BF40+BF34+BF29+BF20+BF17</f>
        <v>167252.478</v>
      </c>
      <c r="BG44" s="226">
        <f t="shared" si="19"/>
        <v>152358.154</v>
      </c>
      <c r="BH44" s="226">
        <f t="shared" si="19"/>
        <v>149601.198</v>
      </c>
      <c r="BI44" s="226">
        <f t="shared" si="19"/>
        <v>118783.478</v>
      </c>
      <c r="BJ44" s="226">
        <f t="shared" si="19"/>
        <v>108481.021</v>
      </c>
      <c r="BK44" s="226">
        <f t="shared" si="19"/>
        <v>98072.448</v>
      </c>
      <c r="BL44" s="226">
        <f t="shared" si="19"/>
        <v>38314</v>
      </c>
      <c r="BM44" s="226">
        <f t="shared" si="19"/>
        <v>11443.389</v>
      </c>
      <c r="BN44" s="226">
        <f t="shared" si="19"/>
        <v>60538.187999999995</v>
      </c>
      <c r="BO44" s="226">
        <f t="shared" si="19"/>
        <v>9495.095</v>
      </c>
      <c r="BP44" s="226"/>
      <c r="BQ44" s="226"/>
      <c r="BR44" s="226"/>
      <c r="BS44" s="256">
        <f t="shared" si="0"/>
        <v>354436378.627</v>
      </c>
      <c r="BT44" s="256">
        <f t="shared" si="5"/>
        <v>60863390.88199999</v>
      </c>
      <c r="BU44" s="256">
        <f t="shared" si="1"/>
        <v>129331366.43800001</v>
      </c>
      <c r="BV44" s="256">
        <f t="shared" si="6"/>
        <v>148830584.255</v>
      </c>
      <c r="BW44" s="256">
        <f t="shared" si="2"/>
        <v>339025341.575</v>
      </c>
      <c r="BX44" s="256">
        <f t="shared" si="3"/>
        <v>15411037.051999997</v>
      </c>
      <c r="BY44" s="256"/>
      <c r="BZ44" s="256">
        <f t="shared" si="4"/>
        <v>354436378.627</v>
      </c>
    </row>
    <row r="45" spans="1:78" ht="12.75">
      <c r="A45" s="266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256"/>
      <c r="BT45" s="256"/>
      <c r="BU45" s="256"/>
      <c r="BV45" s="256"/>
      <c r="BW45" s="256"/>
      <c r="BX45" s="256"/>
      <c r="BY45" s="256"/>
      <c r="BZ45" s="256"/>
    </row>
    <row r="46" spans="1:78" ht="12.75">
      <c r="A46" s="269" t="s">
        <v>518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256"/>
      <c r="BT46" s="256"/>
      <c r="BU46" s="256"/>
      <c r="BV46" s="256"/>
      <c r="BW46" s="256"/>
      <c r="BX46" s="256"/>
      <c r="BY46" s="256"/>
      <c r="BZ46" s="256"/>
    </row>
    <row r="47" spans="1:78" ht="12.75">
      <c r="A47" s="266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256"/>
      <c r="BT47" s="256"/>
      <c r="BU47" s="256"/>
      <c r="BV47" s="256"/>
      <c r="BW47" s="256"/>
      <c r="BX47" s="256"/>
      <c r="BY47" s="256"/>
      <c r="BZ47" s="256"/>
    </row>
    <row r="48" spans="1:78" ht="12.75">
      <c r="A48" s="259" t="s">
        <v>608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3921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54757.362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7438.801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  <c r="BO48" s="10">
        <v>0</v>
      </c>
      <c r="BP48" s="10"/>
      <c r="BQ48" s="10"/>
      <c r="BR48" s="10"/>
      <c r="BS48" s="256">
        <f t="shared" si="0"/>
        <v>66117.163</v>
      </c>
      <c r="BT48" s="256">
        <f t="shared" si="5"/>
        <v>0</v>
      </c>
      <c r="BU48" s="256">
        <f t="shared" si="1"/>
        <v>0</v>
      </c>
      <c r="BV48" s="256">
        <f t="shared" si="6"/>
        <v>66117.163</v>
      </c>
      <c r="BW48" s="256">
        <f t="shared" si="2"/>
        <v>66117.163</v>
      </c>
      <c r="BX48" s="256">
        <f t="shared" si="3"/>
        <v>0</v>
      </c>
      <c r="BY48" s="256"/>
      <c r="BZ48" s="256">
        <f t="shared" si="4"/>
        <v>66117.163</v>
      </c>
    </row>
    <row r="49" spans="1:78" ht="12.75">
      <c r="A49" s="266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256"/>
      <c r="BT49" s="256"/>
      <c r="BU49" s="256"/>
      <c r="BV49" s="256"/>
      <c r="BW49" s="256"/>
      <c r="BX49" s="256"/>
      <c r="BY49" s="256"/>
      <c r="BZ49" s="256"/>
    </row>
    <row r="50" spans="1:78" ht="12.75">
      <c r="A50" s="266" t="s">
        <v>609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256"/>
      <c r="BT50" s="256"/>
      <c r="BU50" s="256"/>
      <c r="BV50" s="256"/>
      <c r="BW50" s="256"/>
      <c r="BX50" s="256"/>
      <c r="BY50" s="256"/>
      <c r="BZ50" s="256"/>
    </row>
    <row r="51" spans="1:78" ht="12.75">
      <c r="A51" s="268" t="s">
        <v>610</v>
      </c>
      <c r="B51" s="10">
        <v>0</v>
      </c>
      <c r="C51" s="10">
        <v>0</v>
      </c>
      <c r="D51" s="10">
        <v>307467.288</v>
      </c>
      <c r="E51" s="10">
        <v>0</v>
      </c>
      <c r="F51" s="10">
        <v>0</v>
      </c>
      <c r="G51" s="10">
        <v>0</v>
      </c>
      <c r="H51" s="10">
        <v>52195.657</v>
      </c>
      <c r="I51" s="10">
        <v>0</v>
      </c>
      <c r="J51" s="10">
        <v>0</v>
      </c>
      <c r="K51" s="10">
        <v>0</v>
      </c>
      <c r="L51" s="10">
        <v>0</v>
      </c>
      <c r="M51" s="10">
        <v>41309.231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3357.772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/>
      <c r="BQ51" s="10"/>
      <c r="BR51" s="10"/>
      <c r="BS51" s="256">
        <f t="shared" si="0"/>
        <v>404329.948</v>
      </c>
      <c r="BT51" s="256">
        <f t="shared" si="5"/>
        <v>0</v>
      </c>
      <c r="BU51" s="256">
        <f t="shared" si="1"/>
        <v>404329.948</v>
      </c>
      <c r="BV51" s="256">
        <f t="shared" si="6"/>
        <v>0</v>
      </c>
      <c r="BW51" s="256">
        <f t="shared" si="2"/>
        <v>404329.948</v>
      </c>
      <c r="BX51" s="256">
        <f t="shared" si="3"/>
        <v>0</v>
      </c>
      <c r="BY51" s="256"/>
      <c r="BZ51" s="256">
        <f t="shared" si="4"/>
        <v>404329.948</v>
      </c>
    </row>
    <row r="52" spans="1:78" ht="12.75">
      <c r="A52" s="259" t="s">
        <v>611</v>
      </c>
      <c r="B52" s="10">
        <v>0</v>
      </c>
      <c r="C52" s="10">
        <v>27587.581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6130.574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27587.581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/>
      <c r="BQ52" s="10"/>
      <c r="BR52" s="10"/>
      <c r="BS52" s="256">
        <f t="shared" si="0"/>
        <v>61305.736</v>
      </c>
      <c r="BT52" s="256">
        <f t="shared" si="5"/>
        <v>33718.155</v>
      </c>
      <c r="BU52" s="256">
        <f t="shared" si="1"/>
        <v>0</v>
      </c>
      <c r="BV52" s="256">
        <f t="shared" si="6"/>
        <v>27587.581</v>
      </c>
      <c r="BW52" s="256">
        <f t="shared" si="2"/>
        <v>61305.736</v>
      </c>
      <c r="BX52" s="256">
        <f t="shared" si="3"/>
        <v>0</v>
      </c>
      <c r="BY52" s="256"/>
      <c r="BZ52" s="256">
        <f t="shared" si="4"/>
        <v>61305.736</v>
      </c>
    </row>
    <row r="53" spans="1:78" ht="12.75">
      <c r="A53" s="268" t="s">
        <v>612</v>
      </c>
      <c r="B53" s="10">
        <v>128127.066</v>
      </c>
      <c r="C53" s="10">
        <v>237560.749</v>
      </c>
      <c r="D53" s="10">
        <v>105647.432</v>
      </c>
      <c r="E53" s="10">
        <f>146106.132+12015.874</f>
        <v>158122.00600000002</v>
      </c>
      <c r="F53" s="10">
        <v>68444.081</v>
      </c>
      <c r="G53" s="10">
        <v>9852.194</v>
      </c>
      <c r="H53" s="10">
        <v>36684.106</v>
      </c>
      <c r="I53" s="10">
        <v>10007.951</v>
      </c>
      <c r="J53" s="10">
        <v>3173.834</v>
      </c>
      <c r="K53" s="10">
        <v>101657.232</v>
      </c>
      <c r="L53" s="10">
        <v>26063.606</v>
      </c>
      <c r="M53" s="10">
        <v>82061.613</v>
      </c>
      <c r="N53" s="10">
        <v>21400.349</v>
      </c>
      <c r="O53" s="10">
        <v>13857.261</v>
      </c>
      <c r="P53" s="10">
        <v>821.7</v>
      </c>
      <c r="Q53" s="10">
        <v>2146.933</v>
      </c>
      <c r="R53" s="10">
        <v>1227.234</v>
      </c>
      <c r="S53" s="10">
        <v>1498.878</v>
      </c>
      <c r="T53" s="10">
        <v>5456.005</v>
      </c>
      <c r="U53" s="10">
        <v>0</v>
      </c>
      <c r="V53" s="10">
        <v>2444.564</v>
      </c>
      <c r="W53" s="10">
        <v>730.164</v>
      </c>
      <c r="X53" s="10">
        <v>777.039</v>
      </c>
      <c r="Y53" s="10">
        <v>1406.922</v>
      </c>
      <c r="Z53" s="10">
        <v>3581.473</v>
      </c>
      <c r="AA53" s="10">
        <v>31.5</v>
      </c>
      <c r="AB53" s="10">
        <v>0</v>
      </c>
      <c r="AC53" s="10">
        <v>838.79</v>
      </c>
      <c r="AD53" s="10">
        <v>421.978</v>
      </c>
      <c r="AE53" s="10">
        <v>9699.757</v>
      </c>
      <c r="AF53" s="10">
        <v>0</v>
      </c>
      <c r="AG53" s="10">
        <v>5210.955</v>
      </c>
      <c r="AH53" s="10">
        <v>1254.146</v>
      </c>
      <c r="AI53" s="10">
        <v>0</v>
      </c>
      <c r="AJ53" s="10">
        <v>344.089</v>
      </c>
      <c r="AK53" s="10">
        <v>409.536</v>
      </c>
      <c r="AL53" s="10">
        <v>29.374</v>
      </c>
      <c r="AM53" s="10">
        <v>2501.565</v>
      </c>
      <c r="AN53" s="10">
        <v>823.652</v>
      </c>
      <c r="AO53" s="10">
        <v>40871.81</v>
      </c>
      <c r="AP53" s="10">
        <v>4078.161</v>
      </c>
      <c r="AQ53" s="10">
        <v>346.831</v>
      </c>
      <c r="AR53" s="10">
        <v>50</v>
      </c>
      <c r="AS53" s="10">
        <v>365.958</v>
      </c>
      <c r="AT53" s="10">
        <v>1396.98</v>
      </c>
      <c r="AU53" s="10">
        <v>19137.5</v>
      </c>
      <c r="AV53" s="10">
        <v>4271.936</v>
      </c>
      <c r="AW53" s="10">
        <v>0</v>
      </c>
      <c r="AX53" s="10">
        <v>500.979</v>
      </c>
      <c r="AY53" s="10">
        <v>316.913</v>
      </c>
      <c r="AZ53" s="10">
        <v>0</v>
      </c>
      <c r="BA53" s="10">
        <v>265.846</v>
      </c>
      <c r="BB53" s="10">
        <v>4818.12</v>
      </c>
      <c r="BC53" s="10">
        <v>394.547</v>
      </c>
      <c r="BD53" s="10">
        <v>28.984</v>
      </c>
      <c r="BE53" s="10">
        <v>399.71</v>
      </c>
      <c r="BF53" s="10">
        <v>1496.548</v>
      </c>
      <c r="BG53" s="10">
        <v>649.73</v>
      </c>
      <c r="BH53" s="10">
        <v>0</v>
      </c>
      <c r="BI53" s="10">
        <v>104.494</v>
      </c>
      <c r="BJ53" s="10">
        <v>97</v>
      </c>
      <c r="BK53" s="10">
        <v>0</v>
      </c>
      <c r="BL53" s="10">
        <v>2496</v>
      </c>
      <c r="BM53" s="10">
        <v>232.642</v>
      </c>
      <c r="BN53" s="10">
        <v>60538.188</v>
      </c>
      <c r="BO53" s="10">
        <v>9495.095</v>
      </c>
      <c r="BP53" s="10"/>
      <c r="BQ53" s="10"/>
      <c r="BR53" s="10"/>
      <c r="BS53" s="256">
        <f t="shared" si="0"/>
        <v>1196669.706</v>
      </c>
      <c r="BT53" s="256">
        <f t="shared" si="5"/>
        <v>324008.401</v>
      </c>
      <c r="BU53" s="256">
        <f t="shared" si="1"/>
        <v>417689.478</v>
      </c>
      <c r="BV53" s="256">
        <f t="shared" si="6"/>
        <v>401340.6440000001</v>
      </c>
      <c r="BW53" s="256">
        <f t="shared" si="2"/>
        <v>1143038.523</v>
      </c>
      <c r="BX53" s="256">
        <f t="shared" si="3"/>
        <v>53631.18299999999</v>
      </c>
      <c r="BY53" s="256"/>
      <c r="BZ53" s="256">
        <f t="shared" si="4"/>
        <v>1196669.706</v>
      </c>
    </row>
    <row r="54" spans="1:78" s="86" customFormat="1" ht="12.75">
      <c r="A54" s="264" t="s">
        <v>522</v>
      </c>
      <c r="B54" s="226">
        <f>SUM(B51:B53)</f>
        <v>128127.066</v>
      </c>
      <c r="C54" s="226">
        <f aca="true" t="shared" si="20" ref="C54:AP54">SUM(C51:C53)</f>
        <v>265148.33</v>
      </c>
      <c r="D54" s="226">
        <f t="shared" si="20"/>
        <v>413114.72</v>
      </c>
      <c r="E54" s="226">
        <f t="shared" si="20"/>
        <v>158122.00600000002</v>
      </c>
      <c r="F54" s="226">
        <f t="shared" si="20"/>
        <v>68444.081</v>
      </c>
      <c r="G54" s="226">
        <f t="shared" si="20"/>
        <v>9852.194</v>
      </c>
      <c r="H54" s="226">
        <f t="shared" si="20"/>
        <v>88879.763</v>
      </c>
      <c r="I54" s="226">
        <f t="shared" si="20"/>
        <v>10007.951</v>
      </c>
      <c r="J54" s="226">
        <f t="shared" si="20"/>
        <v>3173.834</v>
      </c>
      <c r="K54" s="226">
        <f>SUM(K51:K53)</f>
        <v>101657.232</v>
      </c>
      <c r="L54" s="226">
        <f t="shared" si="20"/>
        <v>26063.606</v>
      </c>
      <c r="M54" s="226">
        <f t="shared" si="20"/>
        <v>123370.844</v>
      </c>
      <c r="N54" s="226">
        <f aca="true" t="shared" si="21" ref="N54:U54">SUM(N51:N53)</f>
        <v>21400.349</v>
      </c>
      <c r="O54" s="226">
        <f t="shared" si="21"/>
        <v>13857.261</v>
      </c>
      <c r="P54" s="226">
        <f t="shared" si="21"/>
        <v>821.7</v>
      </c>
      <c r="Q54" s="226">
        <f t="shared" si="21"/>
        <v>2146.933</v>
      </c>
      <c r="R54" s="226">
        <f t="shared" si="21"/>
        <v>1227.234</v>
      </c>
      <c r="S54" s="226">
        <f t="shared" si="21"/>
        <v>1498.878</v>
      </c>
      <c r="T54" s="226">
        <f t="shared" si="21"/>
        <v>5456.005</v>
      </c>
      <c r="U54" s="226">
        <f t="shared" si="21"/>
        <v>0</v>
      </c>
      <c r="V54" s="226">
        <f t="shared" si="20"/>
        <v>8575.137999999999</v>
      </c>
      <c r="W54" s="226">
        <f t="shared" si="20"/>
        <v>730.164</v>
      </c>
      <c r="X54" s="226">
        <f t="shared" si="20"/>
        <v>777.039</v>
      </c>
      <c r="Y54" s="226">
        <f>SUM(Y51:Y53)</f>
        <v>1406.922</v>
      </c>
      <c r="Z54" s="226">
        <f>SUM(Z51:Z53)</f>
        <v>3581.473</v>
      </c>
      <c r="AA54" s="226">
        <f t="shared" si="20"/>
        <v>31.5</v>
      </c>
      <c r="AB54" s="226">
        <f>SUM(AB51:AB53)</f>
        <v>0</v>
      </c>
      <c r="AC54" s="226">
        <f>SUM(AC51:AC53)</f>
        <v>838.79</v>
      </c>
      <c r="AD54" s="226">
        <f>SUM(AD51:AD53)</f>
        <v>421.978</v>
      </c>
      <c r="AE54" s="226">
        <f>SUM(AE51:AE53)</f>
        <v>9699.757</v>
      </c>
      <c r="AF54" s="226">
        <f t="shared" si="20"/>
        <v>0</v>
      </c>
      <c r="AG54" s="226">
        <f>SUM(AG51:AG53)</f>
        <v>5210.955</v>
      </c>
      <c r="AH54" s="226">
        <f t="shared" si="20"/>
        <v>1254.146</v>
      </c>
      <c r="AI54" s="226">
        <f t="shared" si="20"/>
        <v>0</v>
      </c>
      <c r="AJ54" s="226">
        <f t="shared" si="20"/>
        <v>344.089</v>
      </c>
      <c r="AK54" s="226">
        <f t="shared" si="20"/>
        <v>409.536</v>
      </c>
      <c r="AL54" s="226">
        <f t="shared" si="20"/>
        <v>29.374</v>
      </c>
      <c r="AM54" s="226">
        <f t="shared" si="20"/>
        <v>2501.565</v>
      </c>
      <c r="AN54" s="226">
        <f t="shared" si="20"/>
        <v>823.652</v>
      </c>
      <c r="AO54" s="226">
        <f>SUM(AO51:AO53)</f>
        <v>40871.81</v>
      </c>
      <c r="AP54" s="226">
        <f t="shared" si="20"/>
        <v>4078.161</v>
      </c>
      <c r="AQ54" s="226">
        <f aca="true" t="shared" si="22" ref="AQ54:BO54">SUM(AQ51:AQ53)</f>
        <v>346.831</v>
      </c>
      <c r="AR54" s="226">
        <f t="shared" si="22"/>
        <v>50</v>
      </c>
      <c r="AS54" s="226">
        <f t="shared" si="22"/>
        <v>365.958</v>
      </c>
      <c r="AT54" s="226">
        <f t="shared" si="22"/>
        <v>4754.752</v>
      </c>
      <c r="AU54" s="226">
        <f>SUM(AU51:AU53)</f>
        <v>46725.081</v>
      </c>
      <c r="AV54" s="226">
        <f t="shared" si="22"/>
        <v>4271.936</v>
      </c>
      <c r="AW54" s="226">
        <f t="shared" si="22"/>
        <v>0</v>
      </c>
      <c r="AX54" s="226">
        <f t="shared" si="22"/>
        <v>500.979</v>
      </c>
      <c r="AY54" s="226">
        <f t="shared" si="22"/>
        <v>316.913</v>
      </c>
      <c r="AZ54" s="226">
        <f t="shared" si="22"/>
        <v>0</v>
      </c>
      <c r="BA54" s="226">
        <f t="shared" si="22"/>
        <v>265.846</v>
      </c>
      <c r="BB54" s="226">
        <f t="shared" si="22"/>
        <v>4818.12</v>
      </c>
      <c r="BC54" s="226">
        <f t="shared" si="22"/>
        <v>394.547</v>
      </c>
      <c r="BD54" s="226">
        <f t="shared" si="22"/>
        <v>28.984</v>
      </c>
      <c r="BE54" s="226">
        <f t="shared" si="22"/>
        <v>399.71</v>
      </c>
      <c r="BF54" s="226">
        <f>SUM(BF51:BF53)</f>
        <v>1496.548</v>
      </c>
      <c r="BG54" s="226">
        <f t="shared" si="22"/>
        <v>649.73</v>
      </c>
      <c r="BH54" s="226">
        <f t="shared" si="22"/>
        <v>0</v>
      </c>
      <c r="BI54" s="226">
        <f t="shared" si="22"/>
        <v>104.494</v>
      </c>
      <c r="BJ54" s="226">
        <f t="shared" si="22"/>
        <v>97</v>
      </c>
      <c r="BK54" s="226">
        <f t="shared" si="22"/>
        <v>0</v>
      </c>
      <c r="BL54" s="226">
        <f t="shared" si="22"/>
        <v>2496</v>
      </c>
      <c r="BM54" s="226">
        <f t="shared" si="22"/>
        <v>232.642</v>
      </c>
      <c r="BN54" s="226">
        <f t="shared" si="22"/>
        <v>60538.188</v>
      </c>
      <c r="BO54" s="226">
        <f t="shared" si="22"/>
        <v>9495.095</v>
      </c>
      <c r="BP54" s="226"/>
      <c r="BQ54" s="226"/>
      <c r="BR54" s="226"/>
      <c r="BS54" s="256">
        <f t="shared" si="0"/>
        <v>1662305.39</v>
      </c>
      <c r="BT54" s="256">
        <f t="shared" si="5"/>
        <v>357726.55600000004</v>
      </c>
      <c r="BU54" s="256">
        <f t="shared" si="1"/>
        <v>822019.4260000001</v>
      </c>
      <c r="BV54" s="256">
        <f t="shared" si="6"/>
        <v>428928.2250000001</v>
      </c>
      <c r="BW54" s="256">
        <f t="shared" si="2"/>
        <v>1608674.2070000002</v>
      </c>
      <c r="BX54" s="256">
        <f t="shared" si="3"/>
        <v>53631.18299999999</v>
      </c>
      <c r="BY54" s="256"/>
      <c r="BZ54" s="256">
        <f t="shared" si="4"/>
        <v>1662305.3900000001</v>
      </c>
    </row>
    <row r="55" spans="1:78" ht="12.75">
      <c r="A55" s="263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256"/>
      <c r="BT55" s="256"/>
      <c r="BU55" s="256"/>
      <c r="BV55" s="256"/>
      <c r="BW55" s="256"/>
      <c r="BX55" s="256"/>
      <c r="BY55" s="256"/>
      <c r="BZ55" s="256"/>
    </row>
    <row r="56" spans="1:78" ht="12.75">
      <c r="A56" s="270" t="s">
        <v>670</v>
      </c>
      <c r="B56" s="10">
        <v>0</v>
      </c>
      <c r="C56" s="10">
        <v>0</v>
      </c>
      <c r="D56" s="10">
        <v>0</v>
      </c>
      <c r="E56" s="10">
        <v>0</v>
      </c>
      <c r="F56" s="10">
        <v>10566.71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6201.12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1054.068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0">
        <v>0</v>
      </c>
      <c r="BK56" s="10">
        <v>0</v>
      </c>
      <c r="BL56" s="10">
        <v>0</v>
      </c>
      <c r="BM56" s="10">
        <v>0</v>
      </c>
      <c r="BN56" s="10">
        <v>0</v>
      </c>
      <c r="BO56" s="10">
        <v>0</v>
      </c>
      <c r="BP56" s="10"/>
      <c r="BQ56" s="10"/>
      <c r="BR56" s="10"/>
      <c r="BS56" s="256">
        <f t="shared" si="0"/>
        <v>17821.897999999997</v>
      </c>
      <c r="BT56" s="256">
        <f t="shared" si="5"/>
        <v>0</v>
      </c>
      <c r="BU56" s="256">
        <f t="shared" si="1"/>
        <v>10566.71</v>
      </c>
      <c r="BV56" s="256">
        <f t="shared" si="6"/>
        <v>7255.188</v>
      </c>
      <c r="BW56" s="256">
        <f t="shared" si="2"/>
        <v>17821.898</v>
      </c>
      <c r="BX56" s="256">
        <f t="shared" si="3"/>
        <v>0</v>
      </c>
      <c r="BY56" s="256"/>
      <c r="BZ56" s="256">
        <f t="shared" si="4"/>
        <v>17821.898</v>
      </c>
    </row>
    <row r="57" spans="1:78" ht="12.75">
      <c r="A57" s="27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256"/>
      <c r="BT57" s="256"/>
      <c r="BU57" s="256"/>
      <c r="BV57" s="256"/>
      <c r="BW57" s="256"/>
      <c r="BX57" s="256"/>
      <c r="BY57" s="256"/>
      <c r="BZ57" s="256"/>
    </row>
    <row r="58" spans="1:78" s="86" customFormat="1" ht="13.5">
      <c r="A58" s="271" t="s">
        <v>557</v>
      </c>
      <c r="B58" s="226">
        <f>B56+B54+B48</f>
        <v>128127.066</v>
      </c>
      <c r="C58" s="226">
        <f aca="true" t="shared" si="23" ref="C58:AP58">C56+C54+C48</f>
        <v>265148.33</v>
      </c>
      <c r="D58" s="226">
        <f t="shared" si="23"/>
        <v>413114.72</v>
      </c>
      <c r="E58" s="226">
        <f t="shared" si="23"/>
        <v>158122.00600000002</v>
      </c>
      <c r="F58" s="226">
        <f t="shared" si="23"/>
        <v>79010.791</v>
      </c>
      <c r="G58" s="226">
        <f t="shared" si="23"/>
        <v>9852.194</v>
      </c>
      <c r="H58" s="226">
        <f t="shared" si="23"/>
        <v>88879.763</v>
      </c>
      <c r="I58" s="226">
        <f t="shared" si="23"/>
        <v>10007.951</v>
      </c>
      <c r="J58" s="226">
        <f t="shared" si="23"/>
        <v>3173.834</v>
      </c>
      <c r="K58" s="226">
        <f>K56+K54+K48</f>
        <v>101657.232</v>
      </c>
      <c r="L58" s="226">
        <f t="shared" si="23"/>
        <v>36185.725999999995</v>
      </c>
      <c r="M58" s="226">
        <f t="shared" si="23"/>
        <v>123370.844</v>
      </c>
      <c r="N58" s="226">
        <f aca="true" t="shared" si="24" ref="N58:U58">N56+N54+N48</f>
        <v>21400.349</v>
      </c>
      <c r="O58" s="226">
        <f t="shared" si="24"/>
        <v>13857.261</v>
      </c>
      <c r="P58" s="226">
        <f t="shared" si="24"/>
        <v>821.7</v>
      </c>
      <c r="Q58" s="226">
        <f t="shared" si="24"/>
        <v>2146.933</v>
      </c>
      <c r="R58" s="226">
        <f t="shared" si="24"/>
        <v>1227.234</v>
      </c>
      <c r="S58" s="226">
        <f t="shared" si="24"/>
        <v>1498.878</v>
      </c>
      <c r="T58" s="226">
        <f t="shared" si="24"/>
        <v>6510.073</v>
      </c>
      <c r="U58" s="226">
        <f t="shared" si="24"/>
        <v>0</v>
      </c>
      <c r="V58" s="226">
        <f t="shared" si="23"/>
        <v>8575.137999999999</v>
      </c>
      <c r="W58" s="226">
        <f t="shared" si="23"/>
        <v>730.164</v>
      </c>
      <c r="X58" s="226">
        <f t="shared" si="23"/>
        <v>777.039</v>
      </c>
      <c r="Y58" s="226">
        <f>Y56+Y54+Y48</f>
        <v>1406.922</v>
      </c>
      <c r="Z58" s="226">
        <f>Z56+Z54+Z48</f>
        <v>3581.473</v>
      </c>
      <c r="AA58" s="226">
        <f t="shared" si="23"/>
        <v>31.5</v>
      </c>
      <c r="AB58" s="226">
        <f>AB56+AB54+AB48</f>
        <v>0</v>
      </c>
      <c r="AC58" s="226">
        <f>AC56+AC54+AC48</f>
        <v>838.79</v>
      </c>
      <c r="AD58" s="226">
        <f>AD56+AD54+AD48</f>
        <v>421.978</v>
      </c>
      <c r="AE58" s="226">
        <f>AE56+AE54+AE48</f>
        <v>9699.757</v>
      </c>
      <c r="AF58" s="226">
        <f t="shared" si="23"/>
        <v>0</v>
      </c>
      <c r="AG58" s="226">
        <f>AG56+AG54+AG48</f>
        <v>5210.955</v>
      </c>
      <c r="AH58" s="226">
        <f t="shared" si="23"/>
        <v>1254.146</v>
      </c>
      <c r="AI58" s="226">
        <f t="shared" si="23"/>
        <v>0</v>
      </c>
      <c r="AJ58" s="226">
        <f t="shared" si="23"/>
        <v>344.089</v>
      </c>
      <c r="AK58" s="226">
        <f t="shared" si="23"/>
        <v>55166.898</v>
      </c>
      <c r="AL58" s="226">
        <f t="shared" si="23"/>
        <v>29.374</v>
      </c>
      <c r="AM58" s="226">
        <f t="shared" si="23"/>
        <v>2501.565</v>
      </c>
      <c r="AN58" s="226">
        <f t="shared" si="23"/>
        <v>823.652</v>
      </c>
      <c r="AO58" s="226">
        <f>AO56+AO54+AO48</f>
        <v>40871.81</v>
      </c>
      <c r="AP58" s="226">
        <f t="shared" si="23"/>
        <v>4078.161</v>
      </c>
      <c r="AQ58" s="226">
        <f aca="true" t="shared" si="25" ref="AQ58:BO58">AQ56+AQ54+AQ48</f>
        <v>346.831</v>
      </c>
      <c r="AR58" s="226">
        <f t="shared" si="25"/>
        <v>50</v>
      </c>
      <c r="AS58" s="226">
        <f t="shared" si="25"/>
        <v>365.958</v>
      </c>
      <c r="AT58" s="226">
        <f t="shared" si="25"/>
        <v>4754.752</v>
      </c>
      <c r="AU58" s="226">
        <f>AU56+AU54+AU48</f>
        <v>46725.081</v>
      </c>
      <c r="AV58" s="226">
        <f t="shared" si="25"/>
        <v>11710.737000000001</v>
      </c>
      <c r="AW58" s="226">
        <f t="shared" si="25"/>
        <v>0</v>
      </c>
      <c r="AX58" s="226">
        <f t="shared" si="25"/>
        <v>500.979</v>
      </c>
      <c r="AY58" s="226">
        <f t="shared" si="25"/>
        <v>316.913</v>
      </c>
      <c r="AZ58" s="226">
        <f t="shared" si="25"/>
        <v>0</v>
      </c>
      <c r="BA58" s="226">
        <f t="shared" si="25"/>
        <v>265.846</v>
      </c>
      <c r="BB58" s="226">
        <f t="shared" si="25"/>
        <v>4818.12</v>
      </c>
      <c r="BC58" s="226">
        <f t="shared" si="25"/>
        <v>394.547</v>
      </c>
      <c r="BD58" s="226">
        <f t="shared" si="25"/>
        <v>28.984</v>
      </c>
      <c r="BE58" s="226">
        <f t="shared" si="25"/>
        <v>399.71</v>
      </c>
      <c r="BF58" s="226">
        <f>BF56+BF54+BF48</f>
        <v>1496.548</v>
      </c>
      <c r="BG58" s="226">
        <f t="shared" si="25"/>
        <v>649.73</v>
      </c>
      <c r="BH58" s="226">
        <f t="shared" si="25"/>
        <v>0</v>
      </c>
      <c r="BI58" s="226">
        <f t="shared" si="25"/>
        <v>104.494</v>
      </c>
      <c r="BJ58" s="226">
        <f t="shared" si="25"/>
        <v>97</v>
      </c>
      <c r="BK58" s="226">
        <f t="shared" si="25"/>
        <v>0</v>
      </c>
      <c r="BL58" s="226">
        <f t="shared" si="25"/>
        <v>2496</v>
      </c>
      <c r="BM58" s="226">
        <f t="shared" si="25"/>
        <v>232.642</v>
      </c>
      <c r="BN58" s="226">
        <f t="shared" si="25"/>
        <v>60538.188</v>
      </c>
      <c r="BO58" s="226">
        <f t="shared" si="25"/>
        <v>9495.095</v>
      </c>
      <c r="BP58" s="226"/>
      <c r="BQ58" s="226"/>
      <c r="BR58" s="226"/>
      <c r="BS58" s="256">
        <f t="shared" si="0"/>
        <v>1746244.4510000001</v>
      </c>
      <c r="BT58" s="256">
        <f t="shared" si="5"/>
        <v>357726.55600000004</v>
      </c>
      <c r="BU58" s="256">
        <f t="shared" si="1"/>
        <v>832586.136</v>
      </c>
      <c r="BV58" s="256">
        <f t="shared" si="6"/>
        <v>502300.57600000006</v>
      </c>
      <c r="BW58" s="256">
        <f t="shared" si="2"/>
        <v>1692613.2680000002</v>
      </c>
      <c r="BX58" s="256">
        <f t="shared" si="3"/>
        <v>53631.18299999999</v>
      </c>
      <c r="BY58" s="256"/>
      <c r="BZ58" s="256">
        <f t="shared" si="4"/>
        <v>1746244.4510000001</v>
      </c>
    </row>
    <row r="59" spans="1:78" ht="10.5" customHeight="1">
      <c r="A59" s="27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256"/>
      <c r="BT59" s="256"/>
      <c r="BU59" s="256"/>
      <c r="BV59" s="256"/>
      <c r="BW59" s="256"/>
      <c r="BX59" s="256"/>
      <c r="BY59" s="256"/>
      <c r="BZ59" s="256"/>
    </row>
    <row r="60" spans="1:78" ht="12.75">
      <c r="A60" s="263" t="s">
        <v>173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256"/>
      <c r="BT60" s="256"/>
      <c r="BU60" s="256"/>
      <c r="BV60" s="256"/>
      <c r="BW60" s="256"/>
      <c r="BX60" s="256"/>
      <c r="BY60" s="256"/>
      <c r="BZ60" s="256"/>
    </row>
    <row r="61" spans="1:78" s="86" customFormat="1" ht="12.75">
      <c r="A61" s="263" t="s">
        <v>174</v>
      </c>
      <c r="B61" s="226">
        <f>B44-B58</f>
        <v>53359497.07600001</v>
      </c>
      <c r="C61" s="226">
        <f aca="true" t="shared" si="26" ref="C61:AP61">C44-C58</f>
        <v>33665680.66599999</v>
      </c>
      <c r="D61" s="226">
        <f t="shared" si="26"/>
        <v>32885818.537000004</v>
      </c>
      <c r="E61" s="226">
        <f t="shared" si="26"/>
        <v>28537644.837</v>
      </c>
      <c r="F61" s="226">
        <f t="shared" si="26"/>
        <v>27576586.468999997</v>
      </c>
      <c r="G61" s="226">
        <f t="shared" si="26"/>
        <v>13200552.79</v>
      </c>
      <c r="H61" s="226">
        <f t="shared" si="26"/>
        <v>12830016.408</v>
      </c>
      <c r="I61" s="226">
        <f t="shared" si="26"/>
        <v>11101280.954</v>
      </c>
      <c r="J61" s="226">
        <f t="shared" si="26"/>
        <v>10543644.678</v>
      </c>
      <c r="K61" s="226">
        <f>K44-K58</f>
        <v>9949202.255999997</v>
      </c>
      <c r="L61" s="226">
        <f t="shared" si="26"/>
        <v>9062759.103</v>
      </c>
      <c r="M61" s="226">
        <f t="shared" si="26"/>
        <v>8649231.378</v>
      </c>
      <c r="N61" s="226">
        <f aca="true" t="shared" si="27" ref="N61:U61">N44-N58</f>
        <v>7651760.455999999</v>
      </c>
      <c r="O61" s="226">
        <f t="shared" si="27"/>
        <v>7227714.100999999</v>
      </c>
      <c r="P61" s="226">
        <f t="shared" si="27"/>
        <v>7097774.622</v>
      </c>
      <c r="Q61" s="226">
        <f t="shared" si="27"/>
        <v>6937468.118</v>
      </c>
      <c r="R61" s="226">
        <f t="shared" si="27"/>
        <v>6093837.629</v>
      </c>
      <c r="S61" s="226">
        <f t="shared" si="27"/>
        <v>4922047.122</v>
      </c>
      <c r="T61" s="226">
        <f t="shared" si="27"/>
        <v>4773176.729</v>
      </c>
      <c r="U61" s="226">
        <f t="shared" si="27"/>
        <v>4701049.999999999</v>
      </c>
      <c r="V61" s="226">
        <f t="shared" si="26"/>
        <v>4281023.992</v>
      </c>
      <c r="W61" s="226">
        <f t="shared" si="26"/>
        <v>4250973.576</v>
      </c>
      <c r="X61" s="226">
        <f t="shared" si="26"/>
        <v>3441793.974</v>
      </c>
      <c r="Y61" s="226">
        <f>Y44-Y58</f>
        <v>3260226.247</v>
      </c>
      <c r="Z61" s="226">
        <f>Z44-Z58</f>
        <v>3063140.868</v>
      </c>
      <c r="AA61" s="226">
        <f t="shared" si="26"/>
        <v>2451774.517</v>
      </c>
      <c r="AB61" s="226">
        <f>AB44-AB58</f>
        <v>2367664.7989999996</v>
      </c>
      <c r="AC61" s="226">
        <f>AC44-AC58</f>
        <v>2312577.994</v>
      </c>
      <c r="AD61" s="226">
        <f>AD44-AD58</f>
        <v>2150927.761</v>
      </c>
      <c r="AE61" s="226">
        <f>AE44-AE58</f>
        <v>2018092.5280000002</v>
      </c>
      <c r="AF61" s="226">
        <f t="shared" si="26"/>
        <v>1926004.472</v>
      </c>
      <c r="AG61" s="226">
        <f>AG44-AG58</f>
        <v>1539296.903</v>
      </c>
      <c r="AH61" s="226">
        <f t="shared" si="26"/>
        <v>1538045.4790000003</v>
      </c>
      <c r="AI61" s="226">
        <f t="shared" si="26"/>
        <v>1522875.973</v>
      </c>
      <c r="AJ61" s="226">
        <f t="shared" si="26"/>
        <v>1267092.1720000003</v>
      </c>
      <c r="AK61" s="226">
        <f t="shared" si="26"/>
        <v>1145154.233</v>
      </c>
      <c r="AL61" s="226">
        <f t="shared" si="26"/>
        <v>1116314.052</v>
      </c>
      <c r="AM61" s="226">
        <f t="shared" si="26"/>
        <v>994313.9930000002</v>
      </c>
      <c r="AN61" s="226">
        <f t="shared" si="26"/>
        <v>974429.4800000001</v>
      </c>
      <c r="AO61" s="226">
        <f>AO44-AO58</f>
        <v>932483.9750000001</v>
      </c>
      <c r="AP61" s="226">
        <f t="shared" si="26"/>
        <v>826099.983</v>
      </c>
      <c r="AQ61" s="226">
        <f aca="true" t="shared" si="28" ref="AQ61:BO61">AQ44-AQ58</f>
        <v>789116.4659999999</v>
      </c>
      <c r="AR61" s="226">
        <f t="shared" si="28"/>
        <v>777562.5880000001</v>
      </c>
      <c r="AS61" s="226">
        <f t="shared" si="28"/>
        <v>756335.21</v>
      </c>
      <c r="AT61" s="226">
        <f t="shared" si="28"/>
        <v>745289.116</v>
      </c>
      <c r="AU61" s="226">
        <f>AU44-AU58</f>
        <v>615911.397</v>
      </c>
      <c r="AV61" s="226">
        <f t="shared" si="28"/>
        <v>608859.4760000001</v>
      </c>
      <c r="AW61" s="226">
        <f t="shared" si="28"/>
        <v>607931.465</v>
      </c>
      <c r="AX61" s="226">
        <f t="shared" si="28"/>
        <v>525982.1769999999</v>
      </c>
      <c r="AY61" s="226">
        <f t="shared" si="28"/>
        <v>428390.579</v>
      </c>
      <c r="AZ61" s="226">
        <f t="shared" si="28"/>
        <v>391064.473</v>
      </c>
      <c r="BA61" s="226">
        <f t="shared" si="28"/>
        <v>387061.19499999995</v>
      </c>
      <c r="BB61" s="226">
        <f t="shared" si="28"/>
        <v>347864.197</v>
      </c>
      <c r="BC61" s="226">
        <f t="shared" si="28"/>
        <v>308436.248</v>
      </c>
      <c r="BD61" s="226">
        <f t="shared" si="28"/>
        <v>232462.082</v>
      </c>
      <c r="BE61" s="226">
        <f t="shared" si="28"/>
        <v>181586.855</v>
      </c>
      <c r="BF61" s="226">
        <f>BF44-BF58</f>
        <v>165755.93</v>
      </c>
      <c r="BG61" s="226">
        <f t="shared" si="28"/>
        <v>151708.424</v>
      </c>
      <c r="BH61" s="226">
        <f t="shared" si="28"/>
        <v>149601.198</v>
      </c>
      <c r="BI61" s="226">
        <f t="shared" si="28"/>
        <v>118678.984</v>
      </c>
      <c r="BJ61" s="226">
        <f t="shared" si="28"/>
        <v>108384.021</v>
      </c>
      <c r="BK61" s="226">
        <f t="shared" si="28"/>
        <v>98072.448</v>
      </c>
      <c r="BL61" s="226">
        <f t="shared" si="28"/>
        <v>35818</v>
      </c>
      <c r="BM61" s="226">
        <f t="shared" si="28"/>
        <v>11210.747</v>
      </c>
      <c r="BN61" s="226">
        <f t="shared" si="28"/>
        <v>0</v>
      </c>
      <c r="BO61" s="226">
        <f t="shared" si="28"/>
        <v>0</v>
      </c>
      <c r="BP61" s="226"/>
      <c r="BQ61" s="226"/>
      <c r="BR61" s="226"/>
      <c r="BS61" s="256">
        <f>SUM(B61:BO61)</f>
        <v>352690134.1759999</v>
      </c>
      <c r="BT61" s="256">
        <f t="shared" si="5"/>
        <v>60505664.32599999</v>
      </c>
      <c r="BU61" s="256">
        <f t="shared" si="1"/>
        <v>128498780.30200002</v>
      </c>
      <c r="BV61" s="256">
        <f t="shared" si="6"/>
        <v>148328283.679</v>
      </c>
      <c r="BW61" s="256">
        <f t="shared" si="2"/>
        <v>337332728.30700004</v>
      </c>
      <c r="BX61" s="256">
        <f t="shared" si="3"/>
        <v>15357405.869</v>
      </c>
      <c r="BY61" s="256"/>
      <c r="BZ61" s="256">
        <f t="shared" si="4"/>
        <v>352690134.17600006</v>
      </c>
    </row>
    <row r="62" spans="1:78" ht="12" customHeight="1">
      <c r="A62" s="26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2"/>
      <c r="BQ62" s="2"/>
      <c r="BR62" s="2"/>
      <c r="BS62" s="262"/>
      <c r="BT62" s="262"/>
      <c r="BU62" s="262"/>
      <c r="BV62" s="262"/>
      <c r="BW62" s="262"/>
      <c r="BX62" s="262"/>
      <c r="BY62" s="262"/>
      <c r="BZ62" s="262"/>
    </row>
    <row r="63" spans="1:78" s="189" customFormat="1" ht="11.25" customHeight="1" hidden="1">
      <c r="A63" s="213" t="s">
        <v>473</v>
      </c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5"/>
      <c r="BQ63" s="215"/>
      <c r="BR63" s="215"/>
      <c r="BS63" s="236"/>
      <c r="BT63" s="236"/>
      <c r="BU63" s="236"/>
      <c r="BV63" s="236"/>
      <c r="BW63" s="236"/>
      <c r="BX63" s="236"/>
      <c r="BY63" s="236"/>
      <c r="BZ63" s="236"/>
    </row>
    <row r="64" spans="1:78" s="189" customFormat="1" ht="11.25" customHeight="1" hidden="1">
      <c r="A64" s="213" t="s">
        <v>474</v>
      </c>
      <c r="B64" s="214"/>
      <c r="C64" s="214">
        <v>63378000</v>
      </c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>
        <v>7279000</v>
      </c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>
        <v>63378000</v>
      </c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  <c r="BI64" s="214"/>
      <c r="BJ64" s="214"/>
      <c r="BK64" s="214"/>
      <c r="BL64" s="214"/>
      <c r="BM64" s="214"/>
      <c r="BN64" s="214"/>
      <c r="BO64" s="214"/>
      <c r="BP64" s="215"/>
      <c r="BQ64" s="215"/>
      <c r="BR64" s="215"/>
      <c r="BS64" s="237">
        <f>SUM(A64:BO64)</f>
        <v>134035000</v>
      </c>
      <c r="BT64" s="237">
        <f>SUM(C64+P64+V64+AD64+AA64+U64+AN64+AR64+AP64+AW64+AF64+BF64+BC64+BE64+BL64+BI64+BM64+BN64+BO64)</f>
        <v>70657000</v>
      </c>
      <c r="BU64" s="237" t="e">
        <f>SUM(F64+D64+H64+J64+M64+O64+K64+Q64+S64+X64+AI64+#REF!+AJ64+AT64+BA64)</f>
        <v>#REF!</v>
      </c>
      <c r="BV64" s="237">
        <f>SUM(B64+E64+I64+G64+L64+T64+N64+R64+AB64+AC64+AH64+AE64+AL64+AK64+AM64+AV64+AY64+AX64+AZ64+BH64+BD64+BG64)</f>
        <v>0</v>
      </c>
      <c r="BW64" s="237" t="e">
        <f>SUM(BT64:BV64)</f>
        <v>#REF!</v>
      </c>
      <c r="BX64" s="237">
        <f>SUM(W64+Z64+AQ64+AS64+Y64+BB64+BK64+BJ64+AG64+AO64)</f>
        <v>0</v>
      </c>
      <c r="BY64" s="237"/>
      <c r="BZ64" s="237" t="e">
        <f>SUM(BW64:BX64)</f>
        <v>#REF!</v>
      </c>
    </row>
    <row r="65" spans="1:78" s="189" customFormat="1" ht="11.25" customHeight="1" hidden="1">
      <c r="A65" s="219" t="s">
        <v>475</v>
      </c>
      <c r="B65" s="214"/>
      <c r="C65" s="214">
        <f>SUM(C61:C64)</f>
        <v>97043680.666</v>
      </c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>
        <f>SUM(V61:V64)</f>
        <v>11560023.991999999</v>
      </c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>
        <f>SUM(AU61:AU64)</f>
        <v>63993911.397</v>
      </c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  <c r="BI65" s="214"/>
      <c r="BJ65" s="214"/>
      <c r="BK65" s="214"/>
      <c r="BL65" s="214"/>
      <c r="BM65" s="214"/>
      <c r="BN65" s="214"/>
      <c r="BO65" s="214"/>
      <c r="BP65" s="215"/>
      <c r="BQ65" s="215"/>
      <c r="BR65" s="215"/>
      <c r="BS65" s="237">
        <f>SUM(BS61:BS64)</f>
        <v>486725134.1759999</v>
      </c>
      <c r="BT65" s="237">
        <f>SUM(BT61:BT64)</f>
        <v>131162664.32599999</v>
      </c>
      <c r="BU65" s="237" t="e">
        <f>SUM(F65+D65+H65+J65+M65+O65+K65+Q65+S65+X65+AI65+#REF!+AJ65+AT65+BA65)</f>
        <v>#REF!</v>
      </c>
      <c r="BV65" s="237">
        <f>SUM(B65+E65+I65+G65+L65+T65+N65+R65+AB65+AC65+AH65+AE65+AL65+AK65+AM65+AV65+AY65+AX65+AZ65+BH65+BD65+BG65)</f>
        <v>0</v>
      </c>
      <c r="BW65" s="237" t="e">
        <f>SUM(BW61:BW64)</f>
        <v>#REF!</v>
      </c>
      <c r="BX65" s="237">
        <f>SUM(W65+Z65+AQ65+AS65+Y65+BB65+BK65+BJ65+AG65+AO65)</f>
        <v>0</v>
      </c>
      <c r="BY65" s="237"/>
      <c r="BZ65" s="237" t="e">
        <f>SUM(BZ61:BZ64)</f>
        <v>#REF!</v>
      </c>
    </row>
    <row r="66" spans="1:78" ht="6.75" customHeight="1" hidden="1">
      <c r="A66" s="9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2"/>
      <c r="BQ66" s="2"/>
      <c r="BR66" s="2"/>
      <c r="BS66" s="233"/>
      <c r="BT66" s="233"/>
      <c r="BU66" s="233"/>
      <c r="BV66" s="233"/>
      <c r="BW66" s="233"/>
      <c r="BX66" s="233"/>
      <c r="BY66" s="233"/>
      <c r="BZ66" s="233"/>
    </row>
    <row r="67" spans="1:78" s="218" customFormat="1" ht="10.5" customHeight="1" hidden="1">
      <c r="A67" s="212"/>
      <c r="B67" s="216"/>
      <c r="C67" s="216" t="s">
        <v>461</v>
      </c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 t="s">
        <v>461</v>
      </c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216" t="s">
        <v>461</v>
      </c>
      <c r="AV67" s="216"/>
      <c r="AW67" s="216"/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7"/>
      <c r="BQ67" s="217"/>
      <c r="BR67" s="217"/>
      <c r="BS67" s="238" t="s">
        <v>461</v>
      </c>
      <c r="BT67" s="238" t="s">
        <v>461</v>
      </c>
      <c r="BU67" s="238"/>
      <c r="BV67" s="238"/>
      <c r="BW67" s="238"/>
      <c r="BX67" s="238"/>
      <c r="BY67" s="238"/>
      <c r="BZ67" s="238"/>
    </row>
    <row r="68" spans="1:78" s="218" customFormat="1" ht="10.5" customHeight="1" hidden="1">
      <c r="A68" s="212"/>
      <c r="B68" s="216"/>
      <c r="C68" s="216" t="s">
        <v>459</v>
      </c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 t="s">
        <v>459</v>
      </c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 t="s">
        <v>459</v>
      </c>
      <c r="AV68" s="216"/>
      <c r="AW68" s="216"/>
      <c r="AX68" s="216"/>
      <c r="AY68" s="216"/>
      <c r="AZ68" s="216"/>
      <c r="BA68" s="216"/>
      <c r="BB68" s="216"/>
      <c r="BC68" s="216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7"/>
      <c r="BQ68" s="217"/>
      <c r="BR68" s="217"/>
      <c r="BS68" s="238" t="s">
        <v>459</v>
      </c>
      <c r="BT68" s="238" t="s">
        <v>459</v>
      </c>
      <c r="BU68" s="238"/>
      <c r="BV68" s="238"/>
      <c r="BW68" s="238"/>
      <c r="BX68" s="238"/>
      <c r="BY68" s="238"/>
      <c r="BZ68" s="238"/>
    </row>
    <row r="69" spans="1:78" s="218" customFormat="1" ht="10.5" customHeight="1" hidden="1">
      <c r="A69" s="212"/>
      <c r="B69" s="216"/>
      <c r="C69" s="216" t="s">
        <v>460</v>
      </c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 t="s">
        <v>460</v>
      </c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  <c r="AJ69" s="216"/>
      <c r="AK69" s="216"/>
      <c r="AL69" s="216"/>
      <c r="AM69" s="216"/>
      <c r="AN69" s="216"/>
      <c r="AO69" s="216"/>
      <c r="AP69" s="216"/>
      <c r="AQ69" s="216"/>
      <c r="AR69" s="216"/>
      <c r="AS69" s="216"/>
      <c r="AT69" s="216"/>
      <c r="AU69" s="216" t="s">
        <v>460</v>
      </c>
      <c r="AV69" s="216"/>
      <c r="AW69" s="216"/>
      <c r="AX69" s="216"/>
      <c r="AY69" s="216"/>
      <c r="AZ69" s="216"/>
      <c r="BA69" s="216"/>
      <c r="BB69" s="216"/>
      <c r="BC69" s="216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7"/>
      <c r="BQ69" s="217"/>
      <c r="BR69" s="217"/>
      <c r="BS69" s="238" t="s">
        <v>460</v>
      </c>
      <c r="BT69" s="238" t="s">
        <v>460</v>
      </c>
      <c r="BU69" s="238"/>
      <c r="BV69" s="238"/>
      <c r="BW69" s="238"/>
      <c r="BX69" s="238"/>
      <c r="BY69" s="238"/>
      <c r="BZ69" s="238"/>
    </row>
    <row r="70" spans="1:78" ht="12.75">
      <c r="A70" s="9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2"/>
      <c r="BQ70" s="2"/>
      <c r="BR70" s="2"/>
      <c r="BS70" s="233"/>
      <c r="BT70" s="233"/>
      <c r="BU70" s="233"/>
      <c r="BV70" s="233"/>
      <c r="BW70" s="233"/>
      <c r="BX70" s="233"/>
      <c r="BY70" s="233"/>
      <c r="BZ70" s="233"/>
    </row>
  </sheetData>
  <sheetProtection/>
  <mergeCells count="1">
    <mergeCell ref="BU10:BV11"/>
  </mergeCells>
  <printOptions/>
  <pageMargins left="0.5511811023622047" right="0.5511811023622047" top="0.1968503937007874" bottom="0.7874015748031497" header="0.7086614173228347" footer="0.5511811023622047"/>
  <pageSetup horizontalDpi="300" verticalDpi="300" orientation="portrait" paperSize="9" scale="90" r:id="rId1"/>
  <headerFooter alignWithMargins="0">
    <oddHeader>&amp;C&amp;"Times New Roman,Bold"&amp;14
3.1.   EFNAHAGSREIKNINGUR 31.12.1997</oddHeader>
    <oddFooter>&amp;L&amp;"Times New Roman,Regular"1) Sjá sundurliðun á öðrum fjárfestingum í kafla 3.5.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71"/>
  <sheetViews>
    <sheetView zoomScale="90" zoomScaleNormal="90" zoomScalePageLayoutView="0" workbookViewId="0" topLeftCell="A1">
      <pane xSplit="1" ySplit="5" topLeftCell="BU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Z21" sqref="BZ21"/>
    </sheetView>
  </sheetViews>
  <sheetFormatPr defaultColWidth="9.00390625" defaultRowHeight="12.75" outlineLevelRow="1"/>
  <cols>
    <col min="1" max="1" width="27.875" style="106" customWidth="1"/>
    <col min="2" max="67" width="9.625" style="86" customWidth="1"/>
    <col min="68" max="69" width="9.50390625" style="86" customWidth="1"/>
    <col min="70" max="70" width="8.875" style="86" customWidth="1"/>
    <col min="71" max="76" width="10.375" style="86" customWidth="1"/>
    <col min="77" max="77" width="2.625" style="86" customWidth="1"/>
    <col min="78" max="78" width="10.375" style="86" customWidth="1"/>
    <col min="79" max="16384" width="9.00390625" style="86" customWidth="1"/>
  </cols>
  <sheetData>
    <row r="1" spans="1:78" ht="23.25" customHeight="1">
      <c r="A1" s="10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7"/>
      <c r="BT1" s="87"/>
      <c r="BU1" s="87"/>
      <c r="BV1" s="87"/>
      <c r="BW1" s="87"/>
      <c r="BX1" s="87"/>
      <c r="BY1" s="87"/>
      <c r="BZ1" s="87"/>
    </row>
    <row r="2" spans="1:78" s="99" customFormat="1" ht="12.75">
      <c r="A2" s="103"/>
      <c r="B2" s="248" t="s">
        <v>0</v>
      </c>
      <c r="C2" s="248" t="s">
        <v>0</v>
      </c>
      <c r="D2" s="248" t="s">
        <v>0</v>
      </c>
      <c r="E2" s="248" t="s">
        <v>0</v>
      </c>
      <c r="F2" s="248" t="s">
        <v>1</v>
      </c>
      <c r="G2" s="248" t="s">
        <v>2</v>
      </c>
      <c r="H2" s="248" t="s">
        <v>0</v>
      </c>
      <c r="I2" s="248" t="s">
        <v>3</v>
      </c>
      <c r="J2" s="248" t="s">
        <v>0</v>
      </c>
      <c r="K2" s="248" t="s">
        <v>0</v>
      </c>
      <c r="L2" s="248" t="s">
        <v>0</v>
      </c>
      <c r="M2" s="248" t="s">
        <v>0</v>
      </c>
      <c r="N2" s="248" t="s">
        <v>0</v>
      </c>
      <c r="O2" s="248" t="s">
        <v>0</v>
      </c>
      <c r="P2" s="248" t="s">
        <v>4</v>
      </c>
      <c r="Q2" s="248" t="s">
        <v>0</v>
      </c>
      <c r="R2" s="248" t="s">
        <v>0</v>
      </c>
      <c r="S2" s="248" t="s">
        <v>0</v>
      </c>
      <c r="T2" s="248" t="s">
        <v>657</v>
      </c>
      <c r="U2" s="248" t="s">
        <v>6</v>
      </c>
      <c r="V2" s="248" t="s">
        <v>0</v>
      </c>
      <c r="W2" s="248" t="s">
        <v>5</v>
      </c>
      <c r="X2" s="248" t="s">
        <v>0</v>
      </c>
      <c r="Y2" s="248" t="s">
        <v>8</v>
      </c>
      <c r="Z2" s="248" t="s">
        <v>0</v>
      </c>
      <c r="AA2" s="248" t="s">
        <v>0</v>
      </c>
      <c r="AB2" s="248" t="s">
        <v>0</v>
      </c>
      <c r="AC2" s="248" t="s">
        <v>0</v>
      </c>
      <c r="AD2" s="248" t="s">
        <v>0</v>
      </c>
      <c r="AE2" s="248" t="s">
        <v>7</v>
      </c>
      <c r="AF2" s="248" t="s">
        <v>4</v>
      </c>
      <c r="AG2" s="248" t="s">
        <v>9</v>
      </c>
      <c r="AH2" s="248" t="s">
        <v>0</v>
      </c>
      <c r="AI2" s="248" t="s">
        <v>0</v>
      </c>
      <c r="AJ2" s="248" t="s">
        <v>0</v>
      </c>
      <c r="AK2" s="248" t="s">
        <v>4</v>
      </c>
      <c r="AL2" s="248" t="s">
        <v>0</v>
      </c>
      <c r="AM2" s="248" t="s">
        <v>0</v>
      </c>
      <c r="AN2" s="248" t="s">
        <v>0</v>
      </c>
      <c r="AO2" s="248" t="s">
        <v>7</v>
      </c>
      <c r="AP2" s="248" t="s">
        <v>4</v>
      </c>
      <c r="AQ2" s="248" t="s">
        <v>0</v>
      </c>
      <c r="AR2" s="248" t="s">
        <v>0</v>
      </c>
      <c r="AS2" s="248" t="s">
        <v>0</v>
      </c>
      <c r="AT2" s="248" t="s">
        <v>0</v>
      </c>
      <c r="AU2" s="248" t="s">
        <v>0</v>
      </c>
      <c r="AV2" s="248" t="s">
        <v>4</v>
      </c>
      <c r="AW2" s="248" t="s">
        <v>0</v>
      </c>
      <c r="AX2" s="248" t="s">
        <v>4</v>
      </c>
      <c r="AY2" s="248" t="s">
        <v>0</v>
      </c>
      <c r="AZ2" s="248" t="s">
        <v>7</v>
      </c>
      <c r="BA2" s="248" t="s">
        <v>0</v>
      </c>
      <c r="BB2" s="248" t="s">
        <v>4</v>
      </c>
      <c r="BC2" s="248" t="s">
        <v>7</v>
      </c>
      <c r="BD2" s="248" t="s">
        <v>0</v>
      </c>
      <c r="BE2" s="248" t="s">
        <v>4</v>
      </c>
      <c r="BF2" s="248" t="s">
        <v>0</v>
      </c>
      <c r="BG2" s="248" t="s">
        <v>66</v>
      </c>
      <c r="BH2" s="248" t="s">
        <v>0</v>
      </c>
      <c r="BI2" s="248" t="s">
        <v>0</v>
      </c>
      <c r="BJ2" s="248" t="s">
        <v>10</v>
      </c>
      <c r="BK2" s="248" t="s">
        <v>0</v>
      </c>
      <c r="BL2" s="248" t="s">
        <v>0</v>
      </c>
      <c r="BM2" s="248" t="s">
        <v>0</v>
      </c>
      <c r="BN2" s="248" t="s">
        <v>0</v>
      </c>
      <c r="BO2" s="248" t="s">
        <v>0</v>
      </c>
      <c r="BP2" s="248"/>
      <c r="BQ2" s="248"/>
      <c r="BR2" s="248"/>
      <c r="BS2" s="248" t="s">
        <v>11</v>
      </c>
      <c r="BT2" s="258" t="s">
        <v>691</v>
      </c>
      <c r="BU2" s="335" t="s">
        <v>688</v>
      </c>
      <c r="BV2" s="335"/>
      <c r="BW2" s="248"/>
      <c r="BX2" s="248"/>
      <c r="BY2" s="248"/>
      <c r="BZ2" s="248" t="s">
        <v>12</v>
      </c>
    </row>
    <row r="3" spans="1:78" s="99" customFormat="1" ht="12.75">
      <c r="A3" s="104" t="s">
        <v>13</v>
      </c>
      <c r="B3" s="248" t="s">
        <v>14</v>
      </c>
      <c r="C3" s="248" t="s">
        <v>642</v>
      </c>
      <c r="D3" s="248" t="s">
        <v>18</v>
      </c>
      <c r="E3" s="248" t="s">
        <v>15</v>
      </c>
      <c r="F3" s="248" t="s">
        <v>17</v>
      </c>
      <c r="G3" s="248" t="s">
        <v>17</v>
      </c>
      <c r="H3" s="248" t="s">
        <v>19</v>
      </c>
      <c r="I3" s="248" t="s">
        <v>17</v>
      </c>
      <c r="J3" s="248" t="s">
        <v>21</v>
      </c>
      <c r="K3" s="248" t="s">
        <v>553</v>
      </c>
      <c r="L3" s="248" t="s">
        <v>20</v>
      </c>
      <c r="M3" s="248" t="s">
        <v>22</v>
      </c>
      <c r="N3" s="248" t="s">
        <v>25</v>
      </c>
      <c r="O3" s="248" t="s">
        <v>24</v>
      </c>
      <c r="P3" s="248" t="s">
        <v>23</v>
      </c>
      <c r="Q3" s="248" t="s">
        <v>26</v>
      </c>
      <c r="R3" s="248" t="s">
        <v>27</v>
      </c>
      <c r="S3" s="248" t="s">
        <v>28</v>
      </c>
      <c r="T3" s="248" t="s">
        <v>58</v>
      </c>
      <c r="U3" s="248" t="s">
        <v>33</v>
      </c>
      <c r="V3" s="248" t="s">
        <v>29</v>
      </c>
      <c r="W3" s="248" t="s">
        <v>17</v>
      </c>
      <c r="X3" s="248" t="s">
        <v>30</v>
      </c>
      <c r="Y3" s="248" t="s">
        <v>36</v>
      </c>
      <c r="Z3" s="248" t="s">
        <v>31</v>
      </c>
      <c r="AA3" s="248" t="s">
        <v>16</v>
      </c>
      <c r="AB3" s="248" t="s">
        <v>30</v>
      </c>
      <c r="AC3" s="248" t="s">
        <v>32</v>
      </c>
      <c r="AD3" s="248" t="s">
        <v>34</v>
      </c>
      <c r="AE3" s="248" t="s">
        <v>35</v>
      </c>
      <c r="AF3" s="248" t="s">
        <v>16</v>
      </c>
      <c r="AG3" s="248" t="s">
        <v>17</v>
      </c>
      <c r="AH3" s="248" t="s">
        <v>37</v>
      </c>
      <c r="AI3" s="248" t="s">
        <v>38</v>
      </c>
      <c r="AJ3" s="248" t="s">
        <v>39</v>
      </c>
      <c r="AK3" s="248" t="s">
        <v>40</v>
      </c>
      <c r="AL3" s="248" t="s">
        <v>41</v>
      </c>
      <c r="AM3" s="248" t="s">
        <v>42</v>
      </c>
      <c r="AN3" s="248" t="s">
        <v>43</v>
      </c>
      <c r="AO3" s="248" t="s">
        <v>35</v>
      </c>
      <c r="AP3" s="248" t="s">
        <v>44</v>
      </c>
      <c r="AQ3" s="248" t="s">
        <v>46</v>
      </c>
      <c r="AR3" s="248" t="s">
        <v>45</v>
      </c>
      <c r="AS3" s="248" t="s">
        <v>47</v>
      </c>
      <c r="AT3" s="248" t="s">
        <v>48</v>
      </c>
      <c r="AU3" s="248" t="s">
        <v>642</v>
      </c>
      <c r="AV3" s="248" t="s">
        <v>49</v>
      </c>
      <c r="AW3" s="248" t="s">
        <v>50</v>
      </c>
      <c r="AX3" s="248" t="s">
        <v>51</v>
      </c>
      <c r="AY3" s="248" t="s">
        <v>16</v>
      </c>
      <c r="AZ3" s="248" t="s">
        <v>35</v>
      </c>
      <c r="BA3" s="248" t="s">
        <v>52</v>
      </c>
      <c r="BB3" s="248" t="s">
        <v>625</v>
      </c>
      <c r="BC3" s="248" t="s">
        <v>58</v>
      </c>
      <c r="BD3" s="248" t="s">
        <v>53</v>
      </c>
      <c r="BE3" s="248" t="s">
        <v>55</v>
      </c>
      <c r="BF3" s="248" t="s">
        <v>54</v>
      </c>
      <c r="BG3" s="248" t="s">
        <v>17</v>
      </c>
      <c r="BH3" s="248" t="s">
        <v>56</v>
      </c>
      <c r="BI3" s="248" t="s">
        <v>57</v>
      </c>
      <c r="BJ3" s="248" t="s">
        <v>58</v>
      </c>
      <c r="BK3" s="248" t="s">
        <v>59</v>
      </c>
      <c r="BL3" s="248" t="s">
        <v>60</v>
      </c>
      <c r="BM3" s="248" t="s">
        <v>61</v>
      </c>
      <c r="BN3" s="248" t="s">
        <v>62</v>
      </c>
      <c r="BO3" s="248" t="s">
        <v>63</v>
      </c>
      <c r="BP3" s="248"/>
      <c r="BQ3" s="248"/>
      <c r="BR3" s="248"/>
      <c r="BS3" s="248" t="s">
        <v>64</v>
      </c>
      <c r="BT3" s="258" t="s">
        <v>692</v>
      </c>
      <c r="BU3" s="335"/>
      <c r="BV3" s="335"/>
      <c r="BW3" s="248"/>
      <c r="BX3" s="248" t="s">
        <v>66</v>
      </c>
      <c r="BY3" s="248"/>
      <c r="BZ3" s="248" t="s">
        <v>64</v>
      </c>
    </row>
    <row r="4" spans="1:78" s="99" customFormat="1" ht="12.75">
      <c r="A4" s="103"/>
      <c r="B4" s="248" t="s">
        <v>67</v>
      </c>
      <c r="C4" s="248" t="s">
        <v>643</v>
      </c>
      <c r="D4" s="248"/>
      <c r="E4" s="248"/>
      <c r="F4" s="248" t="s">
        <v>35</v>
      </c>
      <c r="G4" s="248" t="s">
        <v>68</v>
      </c>
      <c r="H4" s="248" t="s">
        <v>69</v>
      </c>
      <c r="I4" s="248" t="s">
        <v>35</v>
      </c>
      <c r="J4" s="248" t="s">
        <v>69</v>
      </c>
      <c r="K4" s="248"/>
      <c r="L4" s="248"/>
      <c r="M4" s="248" t="s">
        <v>70</v>
      </c>
      <c r="N4" s="248"/>
      <c r="O4" s="248" t="s">
        <v>72</v>
      </c>
      <c r="P4" s="248" t="s">
        <v>71</v>
      </c>
      <c r="Q4" s="248" t="s">
        <v>633</v>
      </c>
      <c r="R4" s="248" t="s">
        <v>73</v>
      </c>
      <c r="S4" s="248" t="s">
        <v>69</v>
      </c>
      <c r="T4" s="248" t="s">
        <v>658</v>
      </c>
      <c r="U4" s="248" t="s">
        <v>77</v>
      </c>
      <c r="V4" s="248" t="s">
        <v>469</v>
      </c>
      <c r="W4" s="248" t="s">
        <v>35</v>
      </c>
      <c r="X4" s="248" t="s">
        <v>74</v>
      </c>
      <c r="Y4" s="248" t="s">
        <v>81</v>
      </c>
      <c r="Z4" s="248" t="s">
        <v>73</v>
      </c>
      <c r="AA4" s="248" t="s">
        <v>76</v>
      </c>
      <c r="AB4" s="248" t="s">
        <v>75</v>
      </c>
      <c r="AC4" s="248"/>
      <c r="AD4" s="248" t="s">
        <v>78</v>
      </c>
      <c r="AE4" s="248" t="s">
        <v>80</v>
      </c>
      <c r="AF4" s="248" t="s">
        <v>79</v>
      </c>
      <c r="AG4" s="248" t="s">
        <v>93</v>
      </c>
      <c r="AH4" s="248" t="s">
        <v>82</v>
      </c>
      <c r="AI4" s="248" t="s">
        <v>83</v>
      </c>
      <c r="AJ4" s="248"/>
      <c r="AK4" s="248" t="s">
        <v>84</v>
      </c>
      <c r="AL4" s="248" t="s">
        <v>85</v>
      </c>
      <c r="AM4" s="248" t="s">
        <v>86</v>
      </c>
      <c r="AN4" s="248" t="s">
        <v>87</v>
      </c>
      <c r="AO4" s="248" t="s">
        <v>98</v>
      </c>
      <c r="AP4" s="248" t="s">
        <v>88</v>
      </c>
      <c r="AQ4" s="248" t="s">
        <v>84</v>
      </c>
      <c r="AR4" s="248" t="s">
        <v>89</v>
      </c>
      <c r="AS4" s="248" t="s">
        <v>73</v>
      </c>
      <c r="AT4" s="248" t="s">
        <v>90</v>
      </c>
      <c r="AU4" s="248" t="s">
        <v>644</v>
      </c>
      <c r="AV4" s="248" t="s">
        <v>91</v>
      </c>
      <c r="AW4" s="248" t="s">
        <v>88</v>
      </c>
      <c r="AX4" s="248" t="s">
        <v>92</v>
      </c>
      <c r="AY4" s="248" t="s">
        <v>94</v>
      </c>
      <c r="AZ4" s="248" t="s">
        <v>95</v>
      </c>
      <c r="BA4" s="248" t="s">
        <v>96</v>
      </c>
      <c r="BB4" s="248" t="s">
        <v>97</v>
      </c>
      <c r="BC4" s="248" t="s">
        <v>652</v>
      </c>
      <c r="BD4" s="248" t="s">
        <v>99</v>
      </c>
      <c r="BE4" s="248" t="s">
        <v>101</v>
      </c>
      <c r="BF4" s="248" t="s">
        <v>100</v>
      </c>
      <c r="BG4" s="248" t="s">
        <v>35</v>
      </c>
      <c r="BH4" s="248" t="s">
        <v>102</v>
      </c>
      <c r="BI4" s="248" t="s">
        <v>103</v>
      </c>
      <c r="BJ4" s="248" t="s">
        <v>104</v>
      </c>
      <c r="BK4" s="248" t="s">
        <v>105</v>
      </c>
      <c r="BL4" s="248" t="s">
        <v>106</v>
      </c>
      <c r="BM4" s="248" t="s">
        <v>107</v>
      </c>
      <c r="BN4" s="248" t="s">
        <v>67</v>
      </c>
      <c r="BO4" s="248"/>
      <c r="BP4" s="248"/>
      <c r="BQ4" s="248"/>
      <c r="BR4" s="248"/>
      <c r="BS4" s="248" t="s">
        <v>108</v>
      </c>
      <c r="BT4" s="258" t="s">
        <v>687</v>
      </c>
      <c r="BU4" s="258" t="s">
        <v>689</v>
      </c>
      <c r="BV4" s="258" t="s">
        <v>690</v>
      </c>
      <c r="BW4" s="248" t="s">
        <v>109</v>
      </c>
      <c r="BX4" s="248" t="s">
        <v>65</v>
      </c>
      <c r="BY4" s="248"/>
      <c r="BZ4" s="248" t="s">
        <v>108</v>
      </c>
    </row>
    <row r="5" spans="1:78" s="229" customFormat="1" ht="13.5" customHeight="1">
      <c r="A5" s="227"/>
      <c r="B5" s="251" t="s">
        <v>110</v>
      </c>
      <c r="C5" s="251" t="s">
        <v>111</v>
      </c>
      <c r="D5" s="251" t="s">
        <v>112</v>
      </c>
      <c r="E5" s="251" t="s">
        <v>113</v>
      </c>
      <c r="F5" s="251" t="s">
        <v>114</v>
      </c>
      <c r="G5" s="251" t="s">
        <v>115</v>
      </c>
      <c r="H5" s="251" t="s">
        <v>116</v>
      </c>
      <c r="I5" s="251" t="s">
        <v>117</v>
      </c>
      <c r="J5" s="251" t="s">
        <v>391</v>
      </c>
      <c r="K5" s="251" t="s">
        <v>392</v>
      </c>
      <c r="L5" s="251" t="s">
        <v>393</v>
      </c>
      <c r="M5" s="251" t="s">
        <v>119</v>
      </c>
      <c r="N5" s="251" t="s">
        <v>120</v>
      </c>
      <c r="O5" s="251" t="s">
        <v>121</v>
      </c>
      <c r="P5" s="251" t="s">
        <v>122</v>
      </c>
      <c r="Q5" s="251" t="s">
        <v>123</v>
      </c>
      <c r="R5" s="251" t="s">
        <v>124</v>
      </c>
      <c r="S5" s="251" t="s">
        <v>125</v>
      </c>
      <c r="T5" s="251" t="s">
        <v>126</v>
      </c>
      <c r="U5" s="251" t="s">
        <v>127</v>
      </c>
      <c r="V5" s="251" t="s">
        <v>128</v>
      </c>
      <c r="W5" s="251" t="s">
        <v>129</v>
      </c>
      <c r="X5" s="251" t="s">
        <v>130</v>
      </c>
      <c r="Y5" s="251" t="s">
        <v>131</v>
      </c>
      <c r="Z5" s="251" t="s">
        <v>132</v>
      </c>
      <c r="AA5" s="251" t="s">
        <v>133</v>
      </c>
      <c r="AB5" s="251" t="s">
        <v>134</v>
      </c>
      <c r="AC5" s="251" t="s">
        <v>135</v>
      </c>
      <c r="AD5" s="251" t="s">
        <v>136</v>
      </c>
      <c r="AE5" s="251" t="s">
        <v>137</v>
      </c>
      <c r="AF5" s="251" t="s">
        <v>138</v>
      </c>
      <c r="AG5" s="251" t="s">
        <v>139</v>
      </c>
      <c r="AH5" s="251" t="s">
        <v>140</v>
      </c>
      <c r="AI5" s="251" t="s">
        <v>141</v>
      </c>
      <c r="AJ5" s="251" t="s">
        <v>142</v>
      </c>
      <c r="AK5" s="251" t="s">
        <v>143</v>
      </c>
      <c r="AL5" s="251" t="s">
        <v>144</v>
      </c>
      <c r="AM5" s="251" t="s">
        <v>145</v>
      </c>
      <c r="AN5" s="251" t="s">
        <v>146</v>
      </c>
      <c r="AO5" s="251" t="s">
        <v>147</v>
      </c>
      <c r="AP5" s="251" t="s">
        <v>148</v>
      </c>
      <c r="AQ5" s="251" t="s">
        <v>149</v>
      </c>
      <c r="AR5" s="251" t="s">
        <v>150</v>
      </c>
      <c r="AS5" s="251" t="s">
        <v>151</v>
      </c>
      <c r="AT5" s="251" t="s">
        <v>152</v>
      </c>
      <c r="AU5" s="251" t="s">
        <v>153</v>
      </c>
      <c r="AV5" s="251" t="s">
        <v>154</v>
      </c>
      <c r="AW5" s="251" t="s">
        <v>155</v>
      </c>
      <c r="AX5" s="251" t="s">
        <v>156</v>
      </c>
      <c r="AY5" s="251" t="s">
        <v>157</v>
      </c>
      <c r="AZ5" s="251" t="s">
        <v>158</v>
      </c>
      <c r="BA5" s="251" t="s">
        <v>159</v>
      </c>
      <c r="BB5" s="251" t="s">
        <v>471</v>
      </c>
      <c r="BC5" s="251" t="s">
        <v>160</v>
      </c>
      <c r="BD5" s="251" t="s">
        <v>161</v>
      </c>
      <c r="BE5" s="251" t="s">
        <v>162</v>
      </c>
      <c r="BF5" s="251" t="s">
        <v>163</v>
      </c>
      <c r="BG5" s="251" t="s">
        <v>164</v>
      </c>
      <c r="BH5" s="251" t="s">
        <v>472</v>
      </c>
      <c r="BI5" s="251" t="s">
        <v>165</v>
      </c>
      <c r="BJ5" s="251" t="s">
        <v>166</v>
      </c>
      <c r="BK5" s="251" t="s">
        <v>167</v>
      </c>
      <c r="BL5" s="251" t="s">
        <v>168</v>
      </c>
      <c r="BM5" s="251" t="s">
        <v>169</v>
      </c>
      <c r="BN5" s="251" t="s">
        <v>170</v>
      </c>
      <c r="BO5" s="251" t="s">
        <v>171</v>
      </c>
      <c r="BP5" s="251"/>
      <c r="BQ5" s="251"/>
      <c r="BR5" s="251"/>
      <c r="BS5" s="252"/>
      <c r="BT5" s="252" t="s">
        <v>172</v>
      </c>
      <c r="BU5" s="252" t="s">
        <v>622</v>
      </c>
      <c r="BV5" s="252" t="s">
        <v>663</v>
      </c>
      <c r="BW5" s="252" t="s">
        <v>648</v>
      </c>
      <c r="BX5" s="252" t="s">
        <v>554</v>
      </c>
      <c r="BY5" s="252"/>
      <c r="BZ5" s="252" t="s">
        <v>649</v>
      </c>
    </row>
    <row r="6" spans="1:78" ht="12.75">
      <c r="A6" s="105" t="s">
        <v>504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84"/>
      <c r="BT6" s="84"/>
      <c r="BU6" s="84"/>
      <c r="BV6" s="84"/>
      <c r="BW6" s="84"/>
      <c r="BX6" s="84"/>
      <c r="BY6" s="84"/>
      <c r="BZ6" s="84"/>
    </row>
    <row r="7" spans="1:78" ht="12.75">
      <c r="A7" s="104" t="s">
        <v>492</v>
      </c>
      <c r="B7" s="10">
        <v>1248651.497</v>
      </c>
      <c r="C7" s="10">
        <v>842415.046</v>
      </c>
      <c r="D7" s="10">
        <v>678263.444</v>
      </c>
      <c r="E7" s="10">
        <v>619057.739</v>
      </c>
      <c r="F7" s="10">
        <v>560255.164</v>
      </c>
      <c r="G7" s="10">
        <v>184344.831</v>
      </c>
      <c r="H7" s="10">
        <v>289771.828</v>
      </c>
      <c r="I7" s="10">
        <v>188895.963</v>
      </c>
      <c r="J7" s="10">
        <v>271181.356</v>
      </c>
      <c r="K7" s="10">
        <v>256497.205</v>
      </c>
      <c r="L7" s="10">
        <v>151222.586</v>
      </c>
      <c r="M7" s="10">
        <v>168337.641</v>
      </c>
      <c r="N7" s="10">
        <v>182963.447</v>
      </c>
      <c r="O7" s="10">
        <v>174513.958</v>
      </c>
      <c r="P7" s="10">
        <v>101482.809</v>
      </c>
      <c r="Q7" s="10">
        <v>148073.272</v>
      </c>
      <c r="R7" s="10">
        <v>180570.681</v>
      </c>
      <c r="S7" s="10">
        <v>121199</v>
      </c>
      <c r="T7" s="10">
        <v>41522.635</v>
      </c>
      <c r="U7" s="10">
        <v>40171.291</v>
      </c>
      <c r="V7" s="10">
        <v>96369.602</v>
      </c>
      <c r="W7" s="10">
        <v>489290.047</v>
      </c>
      <c r="X7" s="10">
        <v>89211.695</v>
      </c>
      <c r="Y7" s="10">
        <v>161981.522</v>
      </c>
      <c r="Z7" s="10">
        <v>90687.652</v>
      </c>
      <c r="AA7" s="10">
        <v>154510.174</v>
      </c>
      <c r="AB7" s="10">
        <v>66289.637</v>
      </c>
      <c r="AC7" s="10">
        <v>43370.817</v>
      </c>
      <c r="AD7" s="10">
        <v>0</v>
      </c>
      <c r="AE7" s="10">
        <v>35456.395</v>
      </c>
      <c r="AF7" s="10">
        <v>0</v>
      </c>
      <c r="AG7" s="10">
        <v>701692.385</v>
      </c>
      <c r="AH7" s="10">
        <v>30025.896</v>
      </c>
      <c r="AI7" s="10">
        <v>27133.484</v>
      </c>
      <c r="AJ7" s="10">
        <v>31791.781</v>
      </c>
      <c r="AK7" s="10">
        <v>21838.901</v>
      </c>
      <c r="AL7" s="10">
        <v>22831.634</v>
      </c>
      <c r="AM7" s="10">
        <v>38040.478</v>
      </c>
      <c r="AN7" s="10">
        <v>16557.685</v>
      </c>
      <c r="AO7" s="10">
        <v>115139.261</v>
      </c>
      <c r="AP7" s="10">
        <v>22119.132</v>
      </c>
      <c r="AQ7" s="10">
        <v>15365.209</v>
      </c>
      <c r="AR7" s="10">
        <v>20586.502</v>
      </c>
      <c r="AS7" s="10">
        <v>29671.555</v>
      </c>
      <c r="AT7" s="10">
        <v>19237.734</v>
      </c>
      <c r="AU7" s="10">
        <v>159240.189</v>
      </c>
      <c r="AV7" s="10">
        <v>0</v>
      </c>
      <c r="AW7" s="10">
        <v>8805.99</v>
      </c>
      <c r="AX7" s="10">
        <v>147.364</v>
      </c>
      <c r="AY7" s="10">
        <v>0</v>
      </c>
      <c r="AZ7" s="10">
        <v>0</v>
      </c>
      <c r="BA7" s="10">
        <v>0</v>
      </c>
      <c r="BB7" s="10">
        <v>9856.974</v>
      </c>
      <c r="BC7" s="10">
        <v>5719.015</v>
      </c>
      <c r="BD7" s="10">
        <v>3242.712</v>
      </c>
      <c r="BE7" s="10">
        <v>0</v>
      </c>
      <c r="BF7" s="10">
        <v>0</v>
      </c>
      <c r="BG7" s="10">
        <v>1595.08</v>
      </c>
      <c r="BH7" s="10">
        <v>1922.575</v>
      </c>
      <c r="BI7" s="10">
        <v>2342.749</v>
      </c>
      <c r="BJ7" s="10">
        <v>6281.662</v>
      </c>
      <c r="BK7" s="10">
        <v>5039.491</v>
      </c>
      <c r="BL7" s="10">
        <v>0</v>
      </c>
      <c r="BM7" s="10">
        <v>0</v>
      </c>
      <c r="BN7" s="10">
        <v>6530.152</v>
      </c>
      <c r="BO7" s="10">
        <v>812.76</v>
      </c>
      <c r="BP7" s="10"/>
      <c r="BQ7" s="10"/>
      <c r="BR7" s="10"/>
      <c r="BS7" s="230">
        <f>SUM(B7:BO7)</f>
        <v>9000127.283999996</v>
      </c>
      <c r="BT7" s="230">
        <f>SUM(C7+P7+U7+V7+AA7+AD7+AF7+AN7+AP7+AR7+AW7+BB7+BD7+BE7+BH7+BK7+BL7+BN7+BO7)</f>
        <v>1330422.8949999998</v>
      </c>
      <c r="BU7" s="230">
        <f>SUM(D7+F7+H7+J7+K7+M7+O7+Q7+S7+X7+AI7+AJ7+AT7)</f>
        <v>2835467.562</v>
      </c>
      <c r="BV7" s="230">
        <f>SUM(B7+E7+G7+I7+L7+N7+R7+T7+AB7+AC7+AE7+AH7+AK7+AL7+AM7+AU7+AV7+AX7+AY7+AZ7+BC7+BF7+BM7)</f>
        <v>3220189.7050000005</v>
      </c>
      <c r="BW7" s="230">
        <f>SUM(BT7:BV7)</f>
        <v>7386080.1620000005</v>
      </c>
      <c r="BX7" s="230">
        <f>SUM(W7+Y7+Z7+AG7+AO7+AQ7+AS7+BA7+BG7+BI7+BJ7)</f>
        <v>1614047.1220000002</v>
      </c>
      <c r="BY7" s="84"/>
      <c r="BZ7" s="230">
        <f>SUM(BW7:BX7)</f>
        <v>9000127.284</v>
      </c>
    </row>
    <row r="8" spans="1:78" ht="12.75">
      <c r="A8" s="104" t="s">
        <v>493</v>
      </c>
      <c r="B8" s="10">
        <v>1872980.246</v>
      </c>
      <c r="C8" s="10">
        <v>1388904.719</v>
      </c>
      <c r="D8" s="10">
        <v>1017395.165</v>
      </c>
      <c r="E8" s="10">
        <v>928759.874</v>
      </c>
      <c r="F8" s="10">
        <v>840382.746</v>
      </c>
      <c r="G8" s="10">
        <v>276535.93</v>
      </c>
      <c r="H8" s="10">
        <v>434657.742</v>
      </c>
      <c r="I8" s="10">
        <v>293838.165</v>
      </c>
      <c r="J8" s="10">
        <v>406772.035</v>
      </c>
      <c r="K8" s="10">
        <v>384745.807</v>
      </c>
      <c r="L8" s="10">
        <v>181881.529</v>
      </c>
      <c r="M8" s="10">
        <v>252506.462</v>
      </c>
      <c r="N8" s="10">
        <v>273629.21</v>
      </c>
      <c r="O8" s="10">
        <v>261770.937</v>
      </c>
      <c r="P8" s="10">
        <v>224934.547</v>
      </c>
      <c r="Q8" s="10">
        <v>222109.909</v>
      </c>
      <c r="R8" s="10">
        <v>270856.02</v>
      </c>
      <c r="S8" s="10">
        <v>181804</v>
      </c>
      <c r="T8" s="10">
        <v>166090.539</v>
      </c>
      <c r="U8" s="10">
        <v>83633.886</v>
      </c>
      <c r="V8" s="10">
        <v>144554.403</v>
      </c>
      <c r="W8" s="10">
        <v>-114822.465</v>
      </c>
      <c r="X8" s="10">
        <v>133817.543</v>
      </c>
      <c r="Y8" s="10">
        <v>457613.887</v>
      </c>
      <c r="Z8" s="10">
        <v>144141.856</v>
      </c>
      <c r="AA8" s="10">
        <v>231765.26</v>
      </c>
      <c r="AB8" s="10">
        <v>99434.455</v>
      </c>
      <c r="AC8" s="10">
        <v>67424.811</v>
      </c>
      <c r="AD8" s="10">
        <v>0</v>
      </c>
      <c r="AE8" s="10">
        <v>53107.412</v>
      </c>
      <c r="AF8" s="10">
        <v>67542.626</v>
      </c>
      <c r="AG8" s="10">
        <v>0</v>
      </c>
      <c r="AH8" s="10">
        <v>45038.844</v>
      </c>
      <c r="AI8" s="10">
        <v>41997.751</v>
      </c>
      <c r="AJ8" s="10">
        <v>47787.753</v>
      </c>
      <c r="AK8" s="10">
        <v>43643.278</v>
      </c>
      <c r="AL8" s="10">
        <v>34247.45</v>
      </c>
      <c r="AM8" s="10">
        <v>57060.718</v>
      </c>
      <c r="AN8" s="10">
        <v>24832.198</v>
      </c>
      <c r="AO8" s="10">
        <v>255071.465</v>
      </c>
      <c r="AP8" s="10">
        <v>33586.328</v>
      </c>
      <c r="AQ8" s="10">
        <v>23047.822</v>
      </c>
      <c r="AR8" s="10">
        <v>30877.231</v>
      </c>
      <c r="AS8" s="10">
        <v>0</v>
      </c>
      <c r="AT8" s="10">
        <v>28856.601</v>
      </c>
      <c r="AU8" s="10">
        <v>457815.545</v>
      </c>
      <c r="AV8" s="10">
        <v>0</v>
      </c>
      <c r="AW8" s="10">
        <v>13209.026</v>
      </c>
      <c r="AX8" s="10">
        <v>221.047</v>
      </c>
      <c r="AY8" s="10">
        <v>0</v>
      </c>
      <c r="AZ8" s="10">
        <v>0</v>
      </c>
      <c r="BA8" s="10">
        <v>0</v>
      </c>
      <c r="BB8" s="10">
        <v>14785.531</v>
      </c>
      <c r="BC8" s="10">
        <v>8590.068</v>
      </c>
      <c r="BD8" s="10">
        <v>4864.07</v>
      </c>
      <c r="BE8" s="10">
        <v>0</v>
      </c>
      <c r="BF8" s="10">
        <v>0</v>
      </c>
      <c r="BG8" s="10">
        <v>111249.62</v>
      </c>
      <c r="BH8" s="10">
        <v>2883.86</v>
      </c>
      <c r="BI8" s="10">
        <v>3514.125</v>
      </c>
      <c r="BJ8" s="10">
        <v>0</v>
      </c>
      <c r="BK8" s="10">
        <v>7588.095</v>
      </c>
      <c r="BL8" s="10">
        <v>0</v>
      </c>
      <c r="BM8" s="10">
        <v>0</v>
      </c>
      <c r="BN8" s="10">
        <v>9795.228</v>
      </c>
      <c r="BO8" s="10">
        <v>1219.14</v>
      </c>
      <c r="BP8" s="10"/>
      <c r="BQ8" s="10"/>
      <c r="BR8" s="10"/>
      <c r="BS8" s="230">
        <f aca="true" t="shared" si="0" ref="BS8:BS63">SUM(B8:BO8)</f>
        <v>12550552.050000008</v>
      </c>
      <c r="BT8" s="230">
        <f aca="true" t="shared" si="1" ref="BT8:BT63">SUM(C8+P8+U8+V8+AA8+AD8+AF8+AN8+AP8+AR8+AW8+BB8+BD8+BE8+BH8+BK8+BL8+BN8+BO8)</f>
        <v>2284976.1480000005</v>
      </c>
      <c r="BU8" s="230">
        <f aca="true" t="shared" si="2" ref="BU8:BU63">SUM(D8+F8+H8+J8+K8+M8+O8+Q8+S8+X8+AI8+AJ8+AT8)</f>
        <v>4254604.450999999</v>
      </c>
      <c r="BV8" s="230">
        <f aca="true" t="shared" si="3" ref="BV8:BV63">SUM(B8+E8+G8+I8+L8+N8+R8+T8+AB8+AC8+AE8+AH8+AK8+AL8+AM8+AU8+AV8+AX8+AY8+AZ8+BC8+BF8+BM8)</f>
        <v>5131155.141</v>
      </c>
      <c r="BW8" s="230">
        <f aca="true" t="shared" si="4" ref="BW8:BW63">SUM(BT8:BV8)</f>
        <v>11670735.739999998</v>
      </c>
      <c r="BX8" s="230">
        <f aca="true" t="shared" si="5" ref="BX8:BX63">SUM(W8+Y8+Z8+AG8+AO8+AQ8+AS8+BA8+BG8+BI8+BJ8)</f>
        <v>879816.31</v>
      </c>
      <c r="BY8" s="84"/>
      <c r="BZ8" s="230">
        <f aca="true" t="shared" si="6" ref="BZ8:BZ63">SUM(BW8:BX8)</f>
        <v>12550552.049999999</v>
      </c>
    </row>
    <row r="9" spans="1:78" ht="12.75">
      <c r="A9" s="104" t="s">
        <v>494</v>
      </c>
      <c r="B9" s="10">
        <v>0</v>
      </c>
      <c r="C9" s="10">
        <v>-11007.217</v>
      </c>
      <c r="D9" s="10">
        <v>-3815.92</v>
      </c>
      <c r="E9" s="10">
        <v>51.391</v>
      </c>
      <c r="F9" s="10">
        <v>-714.788</v>
      </c>
      <c r="G9" s="10">
        <v>-15581.192</v>
      </c>
      <c r="H9" s="10">
        <v>-3665</v>
      </c>
      <c r="I9" s="10">
        <v>-621.108</v>
      </c>
      <c r="J9" s="10">
        <v>-6270.612</v>
      </c>
      <c r="K9" s="10">
        <v>-966.734</v>
      </c>
      <c r="L9" s="10">
        <v>-22364.261</v>
      </c>
      <c r="M9" s="10">
        <v>-2768.398</v>
      </c>
      <c r="N9" s="10">
        <v>1496.408</v>
      </c>
      <c r="O9" s="10">
        <v>1486.511</v>
      </c>
      <c r="P9" s="10">
        <v>-377.559</v>
      </c>
      <c r="Q9" s="10">
        <v>581.082</v>
      </c>
      <c r="R9" s="10">
        <v>28959.267</v>
      </c>
      <c r="S9" s="10">
        <v>-5436</v>
      </c>
      <c r="T9" s="10">
        <v>0</v>
      </c>
      <c r="U9" s="10">
        <v>0</v>
      </c>
      <c r="V9" s="10">
        <v>2048.447</v>
      </c>
      <c r="W9" s="10">
        <v>0</v>
      </c>
      <c r="X9" s="10">
        <v>-321.921</v>
      </c>
      <c r="Y9" s="10">
        <v>280.516</v>
      </c>
      <c r="Z9" s="10">
        <v>-12535.358</v>
      </c>
      <c r="AA9" s="10">
        <v>1031.019</v>
      </c>
      <c r="AB9" s="10">
        <v>-46.302</v>
      </c>
      <c r="AC9" s="10">
        <v>-741.239</v>
      </c>
      <c r="AD9" s="10">
        <v>710.354</v>
      </c>
      <c r="AE9" s="10">
        <v>-311.8</v>
      </c>
      <c r="AF9" s="10">
        <v>0</v>
      </c>
      <c r="AG9" s="10">
        <v>0</v>
      </c>
      <c r="AH9" s="10">
        <v>0</v>
      </c>
      <c r="AI9" s="10">
        <v>-1980.294</v>
      </c>
      <c r="AJ9" s="10">
        <v>-600.232</v>
      </c>
      <c r="AK9" s="10">
        <v>79.859</v>
      </c>
      <c r="AL9" s="10">
        <v>-42.909</v>
      </c>
      <c r="AM9" s="10">
        <v>-387.968</v>
      </c>
      <c r="AN9" s="10">
        <v>471.356</v>
      </c>
      <c r="AO9" s="10">
        <v>71093.503</v>
      </c>
      <c r="AP9" s="10">
        <v>0</v>
      </c>
      <c r="AQ9" s="10">
        <v>-8197.844</v>
      </c>
      <c r="AR9" s="10">
        <v>340.276</v>
      </c>
      <c r="AS9" s="10">
        <v>0</v>
      </c>
      <c r="AT9" s="10">
        <v>-959.415</v>
      </c>
      <c r="AU9" s="10">
        <v>0</v>
      </c>
      <c r="AV9" s="10">
        <v>-871.04</v>
      </c>
      <c r="AW9" s="10">
        <v>0</v>
      </c>
      <c r="AX9" s="10">
        <v>0</v>
      </c>
      <c r="AY9" s="10">
        <v>13.11</v>
      </c>
      <c r="AZ9" s="10">
        <v>-23.144</v>
      </c>
      <c r="BA9" s="10">
        <v>0</v>
      </c>
      <c r="BB9" s="10">
        <v>0</v>
      </c>
      <c r="BC9" s="10">
        <v>0</v>
      </c>
      <c r="BD9" s="10">
        <v>176.197</v>
      </c>
      <c r="BE9" s="10">
        <v>0</v>
      </c>
      <c r="BF9" s="10">
        <v>0</v>
      </c>
      <c r="BG9" s="10">
        <v>31997.139</v>
      </c>
      <c r="BH9" s="10">
        <v>0</v>
      </c>
      <c r="BI9" s="10">
        <v>0</v>
      </c>
      <c r="BJ9" s="10">
        <f>-9751.451-1940.671-1292.961</f>
        <v>-12985.082999999999</v>
      </c>
      <c r="BK9" s="10">
        <f>-957.284+10833.846</f>
        <v>9876.562</v>
      </c>
      <c r="BL9" s="10">
        <v>0</v>
      </c>
      <c r="BM9" s="10">
        <v>0</v>
      </c>
      <c r="BN9" s="10">
        <v>0</v>
      </c>
      <c r="BO9" s="10">
        <v>0</v>
      </c>
      <c r="BP9" s="10"/>
      <c r="BQ9" s="10"/>
      <c r="BR9" s="10"/>
      <c r="BS9" s="230">
        <f t="shared" si="0"/>
        <v>37099.65899999999</v>
      </c>
      <c r="BT9" s="230">
        <f t="shared" si="1"/>
        <v>3269.4350000000004</v>
      </c>
      <c r="BU9" s="230">
        <f t="shared" si="2"/>
        <v>-25431.721000000005</v>
      </c>
      <c r="BV9" s="230">
        <f t="shared" si="3"/>
        <v>-10390.927999999993</v>
      </c>
      <c r="BW9" s="230">
        <f t="shared" si="4"/>
        <v>-32553.213999999996</v>
      </c>
      <c r="BX9" s="230">
        <f t="shared" si="5"/>
        <v>69652.87299999999</v>
      </c>
      <c r="BY9" s="84"/>
      <c r="BZ9" s="230">
        <f t="shared" si="6"/>
        <v>37099.659</v>
      </c>
    </row>
    <row r="10" spans="1:78" ht="12.75">
      <c r="A10" s="104" t="s">
        <v>495</v>
      </c>
      <c r="B10" s="10">
        <v>0</v>
      </c>
      <c r="C10" s="10">
        <v>1244185.378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106153.866</v>
      </c>
      <c r="M10" s="10">
        <v>0</v>
      </c>
      <c r="N10" s="10">
        <v>0</v>
      </c>
      <c r="O10" s="10">
        <v>0</v>
      </c>
      <c r="P10" s="10">
        <v>84279.409</v>
      </c>
      <c r="Q10" s="10">
        <v>0</v>
      </c>
      <c r="R10" s="10">
        <v>0</v>
      </c>
      <c r="S10" s="10">
        <v>0</v>
      </c>
      <c r="T10" s="10">
        <v>0</v>
      </c>
      <c r="U10" s="10">
        <v>2557942.081</v>
      </c>
      <c r="V10" s="10">
        <v>80251.715</v>
      </c>
      <c r="W10" s="10">
        <v>0</v>
      </c>
      <c r="X10" s="10">
        <v>0</v>
      </c>
      <c r="Y10" s="10">
        <v>0</v>
      </c>
      <c r="Z10" s="10">
        <v>0</v>
      </c>
      <c r="AA10" s="10">
        <v>275024.501</v>
      </c>
      <c r="AB10" s="10">
        <v>0</v>
      </c>
      <c r="AC10" s="10">
        <v>0</v>
      </c>
      <c r="AD10" s="10">
        <v>9383.144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12079.952</v>
      </c>
      <c r="AN10" s="10">
        <v>14720.799</v>
      </c>
      <c r="AO10" s="10">
        <v>0</v>
      </c>
      <c r="AP10" s="10">
        <v>0</v>
      </c>
      <c r="AQ10" s="10">
        <v>0</v>
      </c>
      <c r="AR10" s="10">
        <v>31232.952</v>
      </c>
      <c r="AS10" s="10">
        <v>0</v>
      </c>
      <c r="AT10" s="10">
        <v>0</v>
      </c>
      <c r="AU10" s="10">
        <v>0</v>
      </c>
      <c r="AV10" s="10">
        <v>862.657</v>
      </c>
      <c r="AW10" s="10">
        <v>10770.119</v>
      </c>
      <c r="AX10" s="10">
        <v>0</v>
      </c>
      <c r="AY10" s="10">
        <v>10542.903</v>
      </c>
      <c r="AZ10" s="10">
        <v>0</v>
      </c>
      <c r="BA10" s="10">
        <v>0</v>
      </c>
      <c r="BB10" s="10">
        <v>7239.791</v>
      </c>
      <c r="BC10" s="10">
        <v>0</v>
      </c>
      <c r="BD10" s="10">
        <v>0</v>
      </c>
      <c r="BE10" s="10">
        <v>85177.564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4000</v>
      </c>
      <c r="BM10" s="10">
        <v>0</v>
      </c>
      <c r="BN10" s="10">
        <v>116691.976</v>
      </c>
      <c r="BO10" s="10">
        <v>22190.576</v>
      </c>
      <c r="BP10" s="10"/>
      <c r="BQ10" s="10"/>
      <c r="BR10" s="10"/>
      <c r="BS10" s="230">
        <f t="shared" si="0"/>
        <v>4672729.3829999985</v>
      </c>
      <c r="BT10" s="230">
        <f t="shared" si="1"/>
        <v>4543090.005</v>
      </c>
      <c r="BU10" s="230">
        <f t="shared" si="2"/>
        <v>0</v>
      </c>
      <c r="BV10" s="230">
        <f t="shared" si="3"/>
        <v>129639.37800000001</v>
      </c>
      <c r="BW10" s="230">
        <f t="shared" si="4"/>
        <v>4672729.382999999</v>
      </c>
      <c r="BX10" s="230">
        <f t="shared" si="5"/>
        <v>0</v>
      </c>
      <c r="BY10" s="84"/>
      <c r="BZ10" s="230">
        <f t="shared" si="6"/>
        <v>4672729.382999999</v>
      </c>
    </row>
    <row r="11" spans="1:78" ht="3" customHeight="1">
      <c r="A11" s="103" t="s">
        <v>175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230"/>
      <c r="BT11" s="230"/>
      <c r="BU11" s="230"/>
      <c r="BV11" s="230"/>
      <c r="BW11" s="230"/>
      <c r="BX11" s="230"/>
      <c r="BY11" s="230"/>
      <c r="BZ11" s="230"/>
    </row>
    <row r="12" spans="1:78" ht="12" customHeight="1">
      <c r="A12" s="231" t="s">
        <v>496</v>
      </c>
      <c r="B12" s="226">
        <f>SUM(B7:B10)</f>
        <v>3121631.743</v>
      </c>
      <c r="C12" s="226">
        <f>SUM(C7:C10)</f>
        <v>3464497.926</v>
      </c>
      <c r="D12" s="226">
        <f>SUM(D7:D10)</f>
        <v>1691842.6890000002</v>
      </c>
      <c r="E12" s="226">
        <f>SUM(E7:E10)</f>
        <v>1547869.004</v>
      </c>
      <c r="F12" s="226">
        <f aca="true" t="shared" si="7" ref="F12:M12">SUM(F7:F10)</f>
        <v>1399923.1220000002</v>
      </c>
      <c r="G12" s="226">
        <f t="shared" si="7"/>
        <v>445299.569</v>
      </c>
      <c r="H12" s="226">
        <f t="shared" si="7"/>
        <v>720764.5700000001</v>
      </c>
      <c r="I12" s="226">
        <f t="shared" si="7"/>
        <v>482113.01999999996</v>
      </c>
      <c r="J12" s="226">
        <f>SUM(J7:J10)</f>
        <v>671682.7790000001</v>
      </c>
      <c r="K12" s="226">
        <f>SUM(K7:K10)</f>
        <v>640276.2779999999</v>
      </c>
      <c r="L12" s="226">
        <f t="shared" si="7"/>
        <v>416893.72</v>
      </c>
      <c r="M12" s="226">
        <f t="shared" si="7"/>
        <v>418075.705</v>
      </c>
      <c r="N12" s="226">
        <f aca="true" t="shared" si="8" ref="N12:AM12">SUM(N7:N10)</f>
        <v>458089.065</v>
      </c>
      <c r="O12" s="226">
        <f t="shared" si="8"/>
        <v>437771.406</v>
      </c>
      <c r="P12" s="226">
        <f t="shared" si="8"/>
        <v>410319.20599999995</v>
      </c>
      <c r="Q12" s="226">
        <f t="shared" si="8"/>
        <v>370764.263</v>
      </c>
      <c r="R12" s="226">
        <f t="shared" si="8"/>
        <v>480385.968</v>
      </c>
      <c r="S12" s="226">
        <f t="shared" si="8"/>
        <v>297567</v>
      </c>
      <c r="T12" s="226">
        <f t="shared" si="8"/>
        <v>207613.174</v>
      </c>
      <c r="U12" s="226">
        <f t="shared" si="8"/>
        <v>2681747.258</v>
      </c>
      <c r="V12" s="226">
        <f t="shared" si="8"/>
        <v>323224.167</v>
      </c>
      <c r="W12" s="226">
        <f t="shared" si="8"/>
        <v>374467.58200000005</v>
      </c>
      <c r="X12" s="226">
        <f t="shared" si="8"/>
        <v>222707.317</v>
      </c>
      <c r="Y12" s="226">
        <f t="shared" si="8"/>
        <v>619875.9249999999</v>
      </c>
      <c r="Z12" s="226">
        <f t="shared" si="8"/>
        <v>222294.15</v>
      </c>
      <c r="AA12" s="226">
        <f t="shared" si="8"/>
        <v>662330.9539999999</v>
      </c>
      <c r="AB12" s="226">
        <f t="shared" si="8"/>
        <v>165677.79</v>
      </c>
      <c r="AC12" s="226">
        <f t="shared" si="8"/>
        <v>110054.389</v>
      </c>
      <c r="AD12" s="226">
        <f t="shared" si="8"/>
        <v>10093.498</v>
      </c>
      <c r="AE12" s="226">
        <f t="shared" si="8"/>
        <v>88252.007</v>
      </c>
      <c r="AF12" s="226">
        <f t="shared" si="8"/>
        <v>67542.626</v>
      </c>
      <c r="AG12" s="226">
        <f t="shared" si="8"/>
        <v>701692.385</v>
      </c>
      <c r="AH12" s="226">
        <f t="shared" si="8"/>
        <v>75064.73999999999</v>
      </c>
      <c r="AI12" s="226">
        <f t="shared" si="8"/>
        <v>67150.941</v>
      </c>
      <c r="AJ12" s="226">
        <f t="shared" si="8"/>
        <v>78979.302</v>
      </c>
      <c r="AK12" s="226">
        <f t="shared" si="8"/>
        <v>65562.038</v>
      </c>
      <c r="AL12" s="226">
        <f t="shared" si="8"/>
        <v>57036.174999999996</v>
      </c>
      <c r="AM12" s="226">
        <f t="shared" si="8"/>
        <v>106793.18000000001</v>
      </c>
      <c r="AN12" s="226">
        <f>SUM(AN6:AN10)</f>
        <v>56582.038</v>
      </c>
      <c r="AO12" s="226">
        <f aca="true" t="shared" si="9" ref="AO12:BO12">SUM(AO7:AO10)</f>
        <v>441304.22900000005</v>
      </c>
      <c r="AP12" s="226">
        <f t="shared" si="9"/>
        <v>55705.46000000001</v>
      </c>
      <c r="AQ12" s="226">
        <f t="shared" si="9"/>
        <v>30215.187000000005</v>
      </c>
      <c r="AR12" s="226">
        <f t="shared" si="9"/>
        <v>83036.961</v>
      </c>
      <c r="AS12" s="226">
        <f t="shared" si="9"/>
        <v>29671.555</v>
      </c>
      <c r="AT12" s="226">
        <f t="shared" si="9"/>
        <v>47134.92</v>
      </c>
      <c r="AU12" s="226">
        <f>SUM(AU7:AU10)</f>
        <v>617055.7339999999</v>
      </c>
      <c r="AV12" s="226">
        <f t="shared" si="9"/>
        <v>-8.382999999999925</v>
      </c>
      <c r="AW12" s="226">
        <f t="shared" si="9"/>
        <v>32785.135</v>
      </c>
      <c r="AX12" s="226">
        <f t="shared" si="9"/>
        <v>368.411</v>
      </c>
      <c r="AY12" s="226">
        <f t="shared" si="9"/>
        <v>10556.013</v>
      </c>
      <c r="AZ12" s="226">
        <f t="shared" si="9"/>
        <v>-23.144</v>
      </c>
      <c r="BA12" s="226">
        <f t="shared" si="9"/>
        <v>0</v>
      </c>
      <c r="BB12" s="226">
        <f t="shared" si="9"/>
        <v>31882.296000000002</v>
      </c>
      <c r="BC12" s="226">
        <f t="shared" si="9"/>
        <v>14309.082999999999</v>
      </c>
      <c r="BD12" s="226">
        <f t="shared" si="9"/>
        <v>8282.979</v>
      </c>
      <c r="BE12" s="226">
        <f t="shared" si="9"/>
        <v>85177.564</v>
      </c>
      <c r="BF12" s="226">
        <f>SUM(BF7:BF10)</f>
        <v>0</v>
      </c>
      <c r="BG12" s="226">
        <f t="shared" si="9"/>
        <v>144841.839</v>
      </c>
      <c r="BH12" s="226">
        <f t="shared" si="9"/>
        <v>4806.435</v>
      </c>
      <c r="BI12" s="226">
        <f t="shared" si="9"/>
        <v>5856.874</v>
      </c>
      <c r="BJ12" s="226">
        <f t="shared" si="9"/>
        <v>-6703.4209999999985</v>
      </c>
      <c r="BK12" s="226">
        <f t="shared" si="9"/>
        <v>22504.148</v>
      </c>
      <c r="BL12" s="226">
        <f t="shared" si="9"/>
        <v>4000</v>
      </c>
      <c r="BM12" s="226">
        <f t="shared" si="9"/>
        <v>0</v>
      </c>
      <c r="BN12" s="226">
        <f t="shared" si="9"/>
        <v>133017.356</v>
      </c>
      <c r="BO12" s="226">
        <f t="shared" si="9"/>
        <v>24222.476000000002</v>
      </c>
      <c r="BP12" s="226"/>
      <c r="BQ12" s="226"/>
      <c r="BR12" s="226"/>
      <c r="BS12" s="230">
        <f t="shared" si="0"/>
        <v>26260508.375999987</v>
      </c>
      <c r="BT12" s="230">
        <f t="shared" si="1"/>
        <v>8161758.482999999</v>
      </c>
      <c r="BU12" s="230">
        <f t="shared" si="2"/>
        <v>7064640.292000001</v>
      </c>
      <c r="BV12" s="230">
        <f t="shared" si="3"/>
        <v>8470593.296000002</v>
      </c>
      <c r="BW12" s="230">
        <f t="shared" si="4"/>
        <v>23696992.071000002</v>
      </c>
      <c r="BX12" s="230">
        <f t="shared" si="5"/>
        <v>2563516.3049999997</v>
      </c>
      <c r="BY12" s="84"/>
      <c r="BZ12" s="230">
        <f t="shared" si="6"/>
        <v>26260508.376000002</v>
      </c>
    </row>
    <row r="13" spans="1:78" ht="4.5" customHeight="1">
      <c r="A13" s="105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230"/>
      <c r="BT13" s="230"/>
      <c r="BU13" s="230"/>
      <c r="BV13" s="230"/>
      <c r="BW13" s="230"/>
      <c r="BX13" s="230"/>
      <c r="BY13" s="84"/>
      <c r="BZ13" s="230"/>
    </row>
    <row r="14" spans="1:78" ht="12.75">
      <c r="A14" s="105" t="s">
        <v>505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230"/>
      <c r="BT14" s="230"/>
      <c r="BU14" s="230"/>
      <c r="BV14" s="230"/>
      <c r="BW14" s="230"/>
      <c r="BX14" s="230"/>
      <c r="BY14" s="84"/>
      <c r="BZ14" s="230"/>
    </row>
    <row r="15" spans="1:78" ht="12.75">
      <c r="A15" s="104" t="s">
        <v>491</v>
      </c>
      <c r="B15" s="10">
        <v>1010544.592</v>
      </c>
      <c r="C15" s="10">
        <v>3669458.3</v>
      </c>
      <c r="D15" s="10">
        <v>1195882.672</v>
      </c>
      <c r="E15" s="10">
        <v>707549.64</v>
      </c>
      <c r="F15" s="10">
        <v>739325.084</v>
      </c>
      <c r="G15" s="10">
        <v>64506.009</v>
      </c>
      <c r="H15" s="10">
        <v>350842</v>
      </c>
      <c r="I15" s="10">
        <v>527646.554</v>
      </c>
      <c r="J15" s="10">
        <v>203249.65</v>
      </c>
      <c r="K15" s="10">
        <v>95981.062</v>
      </c>
      <c r="L15" s="10">
        <v>455290.851</v>
      </c>
      <c r="M15" s="10">
        <v>185717.912</v>
      </c>
      <c r="N15" s="10">
        <v>57261.749</v>
      </c>
      <c r="O15" s="10">
        <v>248231.416</v>
      </c>
      <c r="P15" s="10">
        <v>256786.054</v>
      </c>
      <c r="Q15" s="10">
        <v>155494.013</v>
      </c>
      <c r="R15" s="10">
        <v>45283.826</v>
      </c>
      <c r="S15" s="10">
        <v>175347</v>
      </c>
      <c r="T15" s="10">
        <v>112838.485</v>
      </c>
      <c r="U15" s="10">
        <v>123746.692</v>
      </c>
      <c r="V15" s="10">
        <v>231787.442</v>
      </c>
      <c r="W15" s="10">
        <v>22569.305</v>
      </c>
      <c r="X15" s="10">
        <v>94619.939</v>
      </c>
      <c r="Y15" s="10">
        <v>22265.768</v>
      </c>
      <c r="Z15" s="10">
        <v>9219.84</v>
      </c>
      <c r="AA15" s="10">
        <v>563299.367</v>
      </c>
      <c r="AB15" s="10">
        <v>102885.891</v>
      </c>
      <c r="AC15" s="10">
        <v>94909.049</v>
      </c>
      <c r="AD15" s="10">
        <v>98108.192</v>
      </c>
      <c r="AE15" s="10">
        <v>35741.354</v>
      </c>
      <c r="AF15" s="10">
        <v>27916.187</v>
      </c>
      <c r="AG15" s="10">
        <v>10383.206</v>
      </c>
      <c r="AH15" s="10">
        <v>57221.437</v>
      </c>
      <c r="AI15" s="10">
        <v>28054.815</v>
      </c>
      <c r="AJ15" s="10">
        <v>24090.424</v>
      </c>
      <c r="AK15" s="10">
        <v>18270.242</v>
      </c>
      <c r="AL15" s="10">
        <v>11114.917</v>
      </c>
      <c r="AM15" s="10">
        <v>62304.849</v>
      </c>
      <c r="AN15" s="10">
        <v>34234.414</v>
      </c>
      <c r="AO15" s="10">
        <v>4693</v>
      </c>
      <c r="AP15" s="10">
        <v>27016.321</v>
      </c>
      <c r="AQ15" s="10">
        <v>17127.394</v>
      </c>
      <c r="AR15" s="10">
        <v>74292.926</v>
      </c>
      <c r="AS15" s="10">
        <v>6502.811</v>
      </c>
      <c r="AT15" s="10">
        <v>24542.57</v>
      </c>
      <c r="AU15" s="10">
        <v>0</v>
      </c>
      <c r="AV15" s="10">
        <v>38948.998</v>
      </c>
      <c r="AW15" s="10">
        <v>32621.417</v>
      </c>
      <c r="AX15" s="10">
        <v>28808.797</v>
      </c>
      <c r="AY15" s="10">
        <v>37606.336</v>
      </c>
      <c r="AZ15" s="10">
        <v>32209.219</v>
      </c>
      <c r="BA15" s="10">
        <v>5405.737</v>
      </c>
      <c r="BB15" s="10">
        <v>26134.014</v>
      </c>
      <c r="BC15" s="10">
        <v>3919.986</v>
      </c>
      <c r="BD15" s="10">
        <v>6535.736</v>
      </c>
      <c r="BE15" s="10">
        <v>85366.766</v>
      </c>
      <c r="BF15" s="10">
        <v>16771.673</v>
      </c>
      <c r="BG15" s="10">
        <v>0</v>
      </c>
      <c r="BH15" s="10">
        <v>8465.053</v>
      </c>
      <c r="BI15" s="10">
        <v>6801.353</v>
      </c>
      <c r="BJ15" s="10">
        <v>141.804</v>
      </c>
      <c r="BK15" s="10">
        <v>31535.94</v>
      </c>
      <c r="BL15" s="10">
        <v>4838</v>
      </c>
      <c r="BM15" s="10">
        <v>1279.232</v>
      </c>
      <c r="BN15" s="10">
        <v>133921</v>
      </c>
      <c r="BO15" s="10">
        <v>23857.839</v>
      </c>
      <c r="BP15" s="10"/>
      <c r="BQ15" s="10"/>
      <c r="BR15" s="10"/>
      <c r="BS15" s="230">
        <f t="shared" si="0"/>
        <v>12609324.121000001</v>
      </c>
      <c r="BT15" s="230">
        <f t="shared" si="1"/>
        <v>5459921.66</v>
      </c>
      <c r="BU15" s="230">
        <f t="shared" si="2"/>
        <v>3521378.5569999996</v>
      </c>
      <c r="BV15" s="230">
        <f t="shared" si="3"/>
        <v>3522913.685999999</v>
      </c>
      <c r="BW15" s="230">
        <f t="shared" si="4"/>
        <v>12504213.902999999</v>
      </c>
      <c r="BX15" s="230">
        <f t="shared" si="5"/>
        <v>105110.21800000001</v>
      </c>
      <c r="BY15" s="84"/>
      <c r="BZ15" s="230">
        <f t="shared" si="6"/>
        <v>12609324.121</v>
      </c>
    </row>
    <row r="16" spans="1:78" ht="12.75">
      <c r="A16" s="104" t="s">
        <v>490</v>
      </c>
      <c r="B16" s="10">
        <v>-7584.297</v>
      </c>
      <c r="C16" s="10">
        <v>0</v>
      </c>
      <c r="D16" s="10">
        <v>-86172.786</v>
      </c>
      <c r="E16" s="10">
        <v>-1392.219</v>
      </c>
      <c r="F16" s="10">
        <v>-21341.214</v>
      </c>
      <c r="G16" s="10">
        <v>0</v>
      </c>
      <c r="H16" s="10">
        <v>-20060</v>
      </c>
      <c r="I16" s="10">
        <v>-10490.069</v>
      </c>
      <c r="J16" s="10">
        <v>-9441.303</v>
      </c>
      <c r="K16" s="10">
        <v>-716.07</v>
      </c>
      <c r="L16" s="10">
        <v>0</v>
      </c>
      <c r="M16" s="10">
        <v>-8797.153</v>
      </c>
      <c r="N16" s="10">
        <v>0</v>
      </c>
      <c r="O16" s="10">
        <v>-13635.137</v>
      </c>
      <c r="P16" s="10">
        <v>0</v>
      </c>
      <c r="Q16" s="10">
        <v>-5216.742</v>
      </c>
      <c r="R16" s="10">
        <v>0</v>
      </c>
      <c r="S16" s="10">
        <v>-11371</v>
      </c>
      <c r="T16" s="10">
        <v>0</v>
      </c>
      <c r="U16" s="10">
        <v>0</v>
      </c>
      <c r="V16" s="10">
        <v>0</v>
      </c>
      <c r="W16" s="10">
        <v>0</v>
      </c>
      <c r="X16" s="10">
        <v>-6013.582</v>
      </c>
      <c r="Y16" s="10">
        <v>0</v>
      </c>
      <c r="Z16" s="10">
        <v>0</v>
      </c>
      <c r="AA16" s="10">
        <v>0</v>
      </c>
      <c r="AB16" s="10">
        <v>-6906.219</v>
      </c>
      <c r="AC16" s="10">
        <v>-614.205</v>
      </c>
      <c r="AD16" s="10">
        <v>0</v>
      </c>
      <c r="AE16" s="10">
        <v>-527.732</v>
      </c>
      <c r="AF16" s="10">
        <v>0</v>
      </c>
      <c r="AG16" s="10">
        <v>0</v>
      </c>
      <c r="AH16" s="10">
        <v>0</v>
      </c>
      <c r="AI16" s="10">
        <v>-1996.629</v>
      </c>
      <c r="AJ16" s="10">
        <v>-448.265</v>
      </c>
      <c r="AK16" s="10">
        <v>0</v>
      </c>
      <c r="AL16" s="10">
        <v>0</v>
      </c>
      <c r="AM16" s="10">
        <v>-648.092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-1736.631</v>
      </c>
      <c r="AU16" s="10">
        <v>0</v>
      </c>
      <c r="AV16" s="10">
        <v>-863.691</v>
      </c>
      <c r="AW16" s="10">
        <v>0</v>
      </c>
      <c r="AX16" s="10">
        <v>-15.768</v>
      </c>
      <c r="AY16" s="10">
        <v>0</v>
      </c>
      <c r="AZ16" s="10">
        <v>-146.076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/>
      <c r="BQ16" s="10"/>
      <c r="BR16" s="10"/>
      <c r="BS16" s="230">
        <f t="shared" si="0"/>
        <v>-216134.87999999995</v>
      </c>
      <c r="BT16" s="230">
        <f t="shared" si="1"/>
        <v>0</v>
      </c>
      <c r="BU16" s="230">
        <f t="shared" si="2"/>
        <v>-186946.512</v>
      </c>
      <c r="BV16" s="230">
        <f t="shared" si="3"/>
        <v>-29188.368000000002</v>
      </c>
      <c r="BW16" s="230">
        <f t="shared" si="4"/>
        <v>-216134.88</v>
      </c>
      <c r="BX16" s="230">
        <f t="shared" si="5"/>
        <v>0</v>
      </c>
      <c r="BY16" s="84"/>
      <c r="BZ16" s="230">
        <f t="shared" si="6"/>
        <v>-216134.88</v>
      </c>
    </row>
    <row r="17" spans="1:78" ht="12.75">
      <c r="A17" s="104" t="s">
        <v>489</v>
      </c>
      <c r="B17" s="10">
        <v>1043.8</v>
      </c>
      <c r="C17" s="10">
        <v>0</v>
      </c>
      <c r="D17" s="10">
        <v>4148.5</v>
      </c>
      <c r="E17" s="10">
        <v>1027.403</v>
      </c>
      <c r="F17" s="10">
        <v>2534.768</v>
      </c>
      <c r="G17" s="10">
        <v>189.3</v>
      </c>
      <c r="H17" s="10">
        <v>1723</v>
      </c>
      <c r="I17" s="10">
        <v>0</v>
      </c>
      <c r="J17" s="10">
        <v>1019.98</v>
      </c>
      <c r="K17" s="10">
        <v>222.603</v>
      </c>
      <c r="L17" s="10">
        <v>435.2</v>
      </c>
      <c r="M17" s="10">
        <v>506.18</v>
      </c>
      <c r="N17" s="10">
        <v>0</v>
      </c>
      <c r="O17" s="10">
        <v>694.7</v>
      </c>
      <c r="P17" s="10">
        <v>96.9</v>
      </c>
      <c r="Q17" s="10">
        <v>666.49</v>
      </c>
      <c r="R17" s="10">
        <v>87</v>
      </c>
      <c r="S17" s="10">
        <v>842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204.1</v>
      </c>
      <c r="AC17" s="10">
        <v>0</v>
      </c>
      <c r="AD17" s="10">
        <v>0</v>
      </c>
      <c r="AE17" s="10">
        <v>15.5</v>
      </c>
      <c r="AF17" s="10">
        <v>0</v>
      </c>
      <c r="AG17" s="10">
        <v>0</v>
      </c>
      <c r="AH17" s="10">
        <v>6.5</v>
      </c>
      <c r="AI17" s="10">
        <v>0</v>
      </c>
      <c r="AJ17" s="10">
        <v>0</v>
      </c>
      <c r="AK17" s="10">
        <v>21</v>
      </c>
      <c r="AL17" s="10">
        <v>0</v>
      </c>
      <c r="AM17" s="10">
        <v>22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291.549</v>
      </c>
      <c r="AU17" s="10">
        <v>0</v>
      </c>
      <c r="AV17" s="10">
        <v>0</v>
      </c>
      <c r="AW17" s="10">
        <v>0</v>
      </c>
      <c r="AX17" s="10">
        <v>0</v>
      </c>
      <c r="AY17" s="10">
        <v>1.8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/>
      <c r="BQ17" s="10"/>
      <c r="BR17" s="10"/>
      <c r="BS17" s="230">
        <f t="shared" si="0"/>
        <v>15800.273000000001</v>
      </c>
      <c r="BT17" s="230">
        <f t="shared" si="1"/>
        <v>96.9</v>
      </c>
      <c r="BU17" s="230">
        <f t="shared" si="2"/>
        <v>12649.77</v>
      </c>
      <c r="BV17" s="230">
        <f t="shared" si="3"/>
        <v>3053.603</v>
      </c>
      <c r="BW17" s="230">
        <f t="shared" si="4"/>
        <v>15800.273000000001</v>
      </c>
      <c r="BX17" s="230">
        <f t="shared" si="5"/>
        <v>0</v>
      </c>
      <c r="BY17" s="84"/>
      <c r="BZ17" s="230">
        <f t="shared" si="6"/>
        <v>15800.273000000001</v>
      </c>
    </row>
    <row r="18" spans="1:78" ht="3.75" customHeight="1">
      <c r="A18" s="10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230"/>
      <c r="BT18" s="230"/>
      <c r="BU18" s="230"/>
      <c r="BV18" s="230"/>
      <c r="BW18" s="230"/>
      <c r="BX18" s="230"/>
      <c r="BY18" s="84"/>
      <c r="BZ18" s="230"/>
    </row>
    <row r="19" spans="1:78" ht="12" customHeight="1">
      <c r="A19" s="231" t="s">
        <v>497</v>
      </c>
      <c r="B19" s="226">
        <f>SUM(B15:B17)</f>
        <v>1004004.095</v>
      </c>
      <c r="C19" s="226">
        <f>SUM(C15:C17)</f>
        <v>3669458.3</v>
      </c>
      <c r="D19" s="226">
        <f>SUM(D15:D17)</f>
        <v>1113858.386</v>
      </c>
      <c r="E19" s="226">
        <f>SUM(E15:E17)</f>
        <v>707184.824</v>
      </c>
      <c r="F19" s="226">
        <f aca="true" t="shared" si="10" ref="F19:M19">SUM(F15:F17)</f>
        <v>720518.638</v>
      </c>
      <c r="G19" s="226">
        <f t="shared" si="10"/>
        <v>64695.309</v>
      </c>
      <c r="H19" s="226">
        <f t="shared" si="10"/>
        <v>332505</v>
      </c>
      <c r="I19" s="226">
        <f t="shared" si="10"/>
        <v>517156.485</v>
      </c>
      <c r="J19" s="226">
        <f>SUM(J15:J17)</f>
        <v>194828.32700000002</v>
      </c>
      <c r="K19" s="226">
        <f>SUM(K15:K17)</f>
        <v>95487.595</v>
      </c>
      <c r="L19" s="226">
        <f t="shared" si="10"/>
        <v>455726.05100000004</v>
      </c>
      <c r="M19" s="226">
        <f t="shared" si="10"/>
        <v>177426.939</v>
      </c>
      <c r="N19" s="226">
        <f aca="true" t="shared" si="11" ref="N19:AS19">SUM(N15:N17)</f>
        <v>57261.749</v>
      </c>
      <c r="O19" s="226">
        <f t="shared" si="11"/>
        <v>235290.97900000002</v>
      </c>
      <c r="P19" s="226">
        <f t="shared" si="11"/>
        <v>256882.954</v>
      </c>
      <c r="Q19" s="226">
        <f t="shared" si="11"/>
        <v>150943.761</v>
      </c>
      <c r="R19" s="226">
        <f t="shared" si="11"/>
        <v>45370.826</v>
      </c>
      <c r="S19" s="226">
        <f t="shared" si="11"/>
        <v>164818</v>
      </c>
      <c r="T19" s="226">
        <f t="shared" si="11"/>
        <v>112838.485</v>
      </c>
      <c r="U19" s="226">
        <f t="shared" si="11"/>
        <v>123746.692</v>
      </c>
      <c r="V19" s="226">
        <f t="shared" si="11"/>
        <v>231787.442</v>
      </c>
      <c r="W19" s="226">
        <f t="shared" si="11"/>
        <v>22569.305</v>
      </c>
      <c r="X19" s="226">
        <f t="shared" si="11"/>
        <v>88606.357</v>
      </c>
      <c r="Y19" s="226">
        <f t="shared" si="11"/>
        <v>22265.768</v>
      </c>
      <c r="Z19" s="226">
        <f t="shared" si="11"/>
        <v>9219.84</v>
      </c>
      <c r="AA19" s="226">
        <f t="shared" si="11"/>
        <v>563299.367</v>
      </c>
      <c r="AB19" s="226">
        <f t="shared" si="11"/>
        <v>96183.77200000001</v>
      </c>
      <c r="AC19" s="226">
        <f t="shared" si="11"/>
        <v>94294.844</v>
      </c>
      <c r="AD19" s="226">
        <f t="shared" si="11"/>
        <v>98108.192</v>
      </c>
      <c r="AE19" s="226">
        <f t="shared" si="11"/>
        <v>35229.122</v>
      </c>
      <c r="AF19" s="226">
        <f t="shared" si="11"/>
        <v>27916.187</v>
      </c>
      <c r="AG19" s="226">
        <f t="shared" si="11"/>
        <v>10383.206</v>
      </c>
      <c r="AH19" s="226">
        <f t="shared" si="11"/>
        <v>57227.937</v>
      </c>
      <c r="AI19" s="226">
        <f t="shared" si="11"/>
        <v>26058.185999999998</v>
      </c>
      <c r="AJ19" s="226">
        <f t="shared" si="11"/>
        <v>23642.159</v>
      </c>
      <c r="AK19" s="226">
        <f t="shared" si="11"/>
        <v>18291.242</v>
      </c>
      <c r="AL19" s="226">
        <f t="shared" si="11"/>
        <v>11114.917</v>
      </c>
      <c r="AM19" s="226">
        <f t="shared" si="11"/>
        <v>61678.757000000005</v>
      </c>
      <c r="AN19" s="226">
        <f t="shared" si="11"/>
        <v>34234.414</v>
      </c>
      <c r="AO19" s="226">
        <f t="shared" si="11"/>
        <v>4693</v>
      </c>
      <c r="AP19" s="226">
        <f t="shared" si="11"/>
        <v>27016.321</v>
      </c>
      <c r="AQ19" s="226">
        <f t="shared" si="11"/>
        <v>17127.394</v>
      </c>
      <c r="AR19" s="226">
        <f t="shared" si="11"/>
        <v>74292.926</v>
      </c>
      <c r="AS19" s="226">
        <f t="shared" si="11"/>
        <v>6502.811</v>
      </c>
      <c r="AT19" s="226">
        <f aca="true" t="shared" si="12" ref="AT19:BO19">SUM(AT15:AT17)</f>
        <v>23097.487999999998</v>
      </c>
      <c r="AU19" s="226">
        <f>SUM(AU15:AU17)</f>
        <v>0</v>
      </c>
      <c r="AV19" s="226">
        <f t="shared" si="12"/>
        <v>38085.307</v>
      </c>
      <c r="AW19" s="226">
        <f t="shared" si="12"/>
        <v>32621.417</v>
      </c>
      <c r="AX19" s="226">
        <f t="shared" si="12"/>
        <v>28793.029</v>
      </c>
      <c r="AY19" s="226">
        <f t="shared" si="12"/>
        <v>37608.136000000006</v>
      </c>
      <c r="AZ19" s="226">
        <f t="shared" si="12"/>
        <v>32063.143</v>
      </c>
      <c r="BA19" s="226">
        <f t="shared" si="12"/>
        <v>5405.737</v>
      </c>
      <c r="BB19" s="226">
        <f t="shared" si="12"/>
        <v>26134.014</v>
      </c>
      <c r="BC19" s="226">
        <f t="shared" si="12"/>
        <v>3919.986</v>
      </c>
      <c r="BD19" s="226">
        <f t="shared" si="12"/>
        <v>6535.736</v>
      </c>
      <c r="BE19" s="226">
        <f t="shared" si="12"/>
        <v>85366.766</v>
      </c>
      <c r="BF19" s="226">
        <f>SUM(BF15:BF17)</f>
        <v>16771.673</v>
      </c>
      <c r="BG19" s="226">
        <f t="shared" si="12"/>
        <v>0</v>
      </c>
      <c r="BH19" s="226">
        <f t="shared" si="12"/>
        <v>8465.053</v>
      </c>
      <c r="BI19" s="226">
        <f t="shared" si="12"/>
        <v>6801.353</v>
      </c>
      <c r="BJ19" s="226">
        <f t="shared" si="12"/>
        <v>141.804</v>
      </c>
      <c r="BK19" s="226">
        <f t="shared" si="12"/>
        <v>31535.94</v>
      </c>
      <c r="BL19" s="226">
        <f t="shared" si="12"/>
        <v>4838</v>
      </c>
      <c r="BM19" s="226">
        <f t="shared" si="12"/>
        <v>1279.232</v>
      </c>
      <c r="BN19" s="226">
        <f t="shared" si="12"/>
        <v>133921</v>
      </c>
      <c r="BO19" s="226">
        <f t="shared" si="12"/>
        <v>23857.839</v>
      </c>
      <c r="BP19" s="226"/>
      <c r="BQ19" s="226"/>
      <c r="BR19" s="226"/>
      <c r="BS19" s="230">
        <f t="shared" si="0"/>
        <v>12408989.514</v>
      </c>
      <c r="BT19" s="230">
        <f t="shared" si="1"/>
        <v>5460018.56</v>
      </c>
      <c r="BU19" s="230">
        <f t="shared" si="2"/>
        <v>3347081.8150000004</v>
      </c>
      <c r="BV19" s="230">
        <f t="shared" si="3"/>
        <v>3496778.9209999996</v>
      </c>
      <c r="BW19" s="230">
        <f t="shared" si="4"/>
        <v>12303879.296</v>
      </c>
      <c r="BX19" s="230">
        <f t="shared" si="5"/>
        <v>105110.21800000001</v>
      </c>
      <c r="BY19" s="84"/>
      <c r="BZ19" s="230">
        <f t="shared" si="6"/>
        <v>12408989.514</v>
      </c>
    </row>
    <row r="20" spans="1:78" ht="4.5" customHeight="1">
      <c r="A20" s="10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230"/>
      <c r="BT20" s="230"/>
      <c r="BU20" s="230"/>
      <c r="BV20" s="230"/>
      <c r="BW20" s="230"/>
      <c r="BX20" s="230"/>
      <c r="BY20" s="84"/>
      <c r="BZ20" s="230"/>
    </row>
    <row r="21" spans="1:78" ht="12.75">
      <c r="A21" s="105" t="s">
        <v>506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230"/>
      <c r="BT21" s="230"/>
      <c r="BU21" s="230"/>
      <c r="BV21" s="230"/>
      <c r="BW21" s="230"/>
      <c r="BX21" s="230"/>
      <c r="BY21" s="89"/>
      <c r="BZ21" s="230"/>
    </row>
    <row r="22" spans="1:78" ht="12.75">
      <c r="A22" s="104" t="s">
        <v>501</v>
      </c>
      <c r="B22" s="10">
        <v>79137.443</v>
      </c>
      <c r="C22" s="10"/>
      <c r="D22" s="10">
        <v>50231.835</v>
      </c>
      <c r="E22" s="10">
        <v>93566.126</v>
      </c>
      <c r="F22" s="10">
        <v>37576.534</v>
      </c>
      <c r="G22" s="10">
        <v>7414.405</v>
      </c>
      <c r="H22" s="10">
        <v>288173.864</v>
      </c>
      <c r="I22" s="10">
        <v>37524.104</v>
      </c>
      <c r="J22" s="10">
        <v>26105.814</v>
      </c>
      <c r="K22" s="10">
        <v>18934.198</v>
      </c>
      <c r="L22" s="10">
        <v>24165.052</v>
      </c>
      <c r="M22" s="10">
        <v>91465.689</v>
      </c>
      <c r="N22" s="10">
        <v>33824.082</v>
      </c>
      <c r="O22" s="10">
        <v>7879.89</v>
      </c>
      <c r="P22" s="10">
        <v>0</v>
      </c>
      <c r="Q22" s="10">
        <v>8465.317</v>
      </c>
      <c r="R22" s="10">
        <v>7088.867</v>
      </c>
      <c r="S22" s="10">
        <v>8192</v>
      </c>
      <c r="T22" s="10">
        <v>565.057</v>
      </c>
      <c r="U22" s="10">
        <v>3665.588</v>
      </c>
      <c r="V22" s="10">
        <v>0</v>
      </c>
      <c r="W22" s="10">
        <v>82908.531</v>
      </c>
      <c r="X22" s="10">
        <v>4338.883</v>
      </c>
      <c r="Y22" s="10">
        <v>2925.434</v>
      </c>
      <c r="Z22" s="10">
        <v>38306.78</v>
      </c>
      <c r="AA22" s="10">
        <v>0</v>
      </c>
      <c r="AB22" s="10">
        <v>3238.612</v>
      </c>
      <c r="AC22" s="10">
        <v>2477.038</v>
      </c>
      <c r="AD22" s="10">
        <v>50747.951</v>
      </c>
      <c r="AE22" s="10">
        <f>67766.377</f>
        <v>67766.377</v>
      </c>
      <c r="AF22" s="10">
        <v>8367.38</v>
      </c>
      <c r="AG22" s="10">
        <v>834.972</v>
      </c>
      <c r="AH22" s="10">
        <v>1136.339</v>
      </c>
      <c r="AI22" s="10">
        <v>915.218</v>
      </c>
      <c r="AJ22" s="10">
        <v>15.571</v>
      </c>
      <c r="AK22" s="10">
        <v>1977.225</v>
      </c>
      <c r="AL22" s="10">
        <v>0</v>
      </c>
      <c r="AM22" s="10">
        <v>1185.097</v>
      </c>
      <c r="AN22" s="10">
        <v>0</v>
      </c>
      <c r="AO22" s="10">
        <v>1867.414</v>
      </c>
      <c r="AP22" s="10">
        <v>239.452</v>
      </c>
      <c r="AQ22" s="10">
        <v>0</v>
      </c>
      <c r="AR22" s="10">
        <v>1702.973</v>
      </c>
      <c r="AS22" s="10">
        <v>1574.328</v>
      </c>
      <c r="AT22" s="10">
        <v>126.56</v>
      </c>
      <c r="AU22" s="10"/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708.078</v>
      </c>
      <c r="BB22" s="10">
        <v>197.875</v>
      </c>
      <c r="BC22" s="10">
        <v>0</v>
      </c>
      <c r="BD22" s="10">
        <v>0</v>
      </c>
      <c r="BE22" s="10">
        <v>0</v>
      </c>
      <c r="BF22" s="10">
        <v>0</v>
      </c>
      <c r="BG22" s="10">
        <v>-471.81</v>
      </c>
      <c r="BH22" s="10">
        <v>90</v>
      </c>
      <c r="BI22" s="10">
        <v>176.192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/>
      <c r="BQ22" s="10"/>
      <c r="BR22" s="10"/>
      <c r="BS22" s="230">
        <f t="shared" si="0"/>
        <v>1097328.3350000004</v>
      </c>
      <c r="BT22" s="230">
        <f t="shared" si="1"/>
        <v>65011.219</v>
      </c>
      <c r="BU22" s="230">
        <f t="shared" si="2"/>
        <v>542421.3730000001</v>
      </c>
      <c r="BV22" s="230">
        <f t="shared" si="3"/>
        <v>361065.82399999996</v>
      </c>
      <c r="BW22" s="230">
        <f t="shared" si="4"/>
        <v>968498.4160000002</v>
      </c>
      <c r="BX22" s="230">
        <f t="shared" si="5"/>
        <v>128829.91899999998</v>
      </c>
      <c r="BY22" s="84"/>
      <c r="BZ22" s="230">
        <f t="shared" si="6"/>
        <v>1097328.3350000002</v>
      </c>
    </row>
    <row r="23" spans="1:78" ht="12.75">
      <c r="A23" s="104" t="s">
        <v>502</v>
      </c>
      <c r="B23" s="10">
        <v>1134.132</v>
      </c>
      <c r="C23" s="10">
        <v>-62.116</v>
      </c>
      <c r="D23" s="10">
        <v>164.771</v>
      </c>
      <c r="E23" s="10">
        <v>1103.5</v>
      </c>
      <c r="F23" s="10">
        <v>0</v>
      </c>
      <c r="G23" s="10">
        <v>0</v>
      </c>
      <c r="H23" s="10">
        <v>0</v>
      </c>
      <c r="I23" s="10">
        <v>-5993.769</v>
      </c>
      <c r="J23" s="10">
        <v>0</v>
      </c>
      <c r="K23" s="10">
        <v>0</v>
      </c>
      <c r="L23" s="10">
        <v>0</v>
      </c>
      <c r="M23" s="10">
        <v>246.705</v>
      </c>
      <c r="N23" s="10">
        <v>-554.052</v>
      </c>
      <c r="O23" s="10">
        <v>0</v>
      </c>
      <c r="P23" s="10">
        <v>0</v>
      </c>
      <c r="Q23" s="10">
        <v>0</v>
      </c>
      <c r="R23" s="10">
        <v>2062.395</v>
      </c>
      <c r="S23" s="10">
        <v>0</v>
      </c>
      <c r="T23" s="10">
        <v>0</v>
      </c>
      <c r="U23" s="10">
        <v>0</v>
      </c>
      <c r="V23" s="10">
        <v>0</v>
      </c>
      <c r="W23" s="10"/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61.5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100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/>
      <c r="BQ23" s="10"/>
      <c r="BR23" s="10"/>
      <c r="BS23" s="230">
        <f t="shared" si="0"/>
        <v>-1736.9340000000002</v>
      </c>
      <c r="BT23" s="230">
        <f t="shared" si="1"/>
        <v>-62.116</v>
      </c>
      <c r="BU23" s="230">
        <f t="shared" si="2"/>
        <v>511.476</v>
      </c>
      <c r="BV23" s="230">
        <f t="shared" si="3"/>
        <v>-2186.2940000000003</v>
      </c>
      <c r="BW23" s="230">
        <f t="shared" si="4"/>
        <v>-1736.9340000000002</v>
      </c>
      <c r="BX23" s="230">
        <f t="shared" si="5"/>
        <v>0</v>
      </c>
      <c r="BY23" s="84"/>
      <c r="BZ23" s="230">
        <f t="shared" si="6"/>
        <v>-1736.9340000000002</v>
      </c>
    </row>
    <row r="24" spans="1:78" ht="12.75">
      <c r="A24" s="104" t="s">
        <v>488</v>
      </c>
      <c r="B24" s="10">
        <v>5730277.472</v>
      </c>
      <c r="C24" s="10">
        <v>2492577.236</v>
      </c>
      <c r="D24" s="10">
        <v>3042059.722</v>
      </c>
      <c r="E24" s="10">
        <v>2283786.448</v>
      </c>
      <c r="F24" s="10">
        <v>2585374.648</v>
      </c>
      <c r="G24" s="10">
        <v>1160619.2</v>
      </c>
      <c r="H24" s="10">
        <v>914590</v>
      </c>
      <c r="I24" s="10">
        <v>1400559.773</v>
      </c>
      <c r="J24" s="10">
        <v>1405407.347</v>
      </c>
      <c r="K24" s="10">
        <v>696159.013</v>
      </c>
      <c r="L24" s="10">
        <v>937320.138</v>
      </c>
      <c r="M24" s="10">
        <v>584660.51</v>
      </c>
      <c r="N24" s="10">
        <v>673902.171</v>
      </c>
      <c r="O24" s="10">
        <v>628877.933</v>
      </c>
      <c r="P24" s="10">
        <v>504237.183</v>
      </c>
      <c r="Q24" s="10">
        <v>538693.391</v>
      </c>
      <c r="R24" s="10">
        <v>479032.607</v>
      </c>
      <c r="S24" s="10">
        <v>372234</v>
      </c>
      <c r="T24" s="10">
        <v>362134.695</v>
      </c>
      <c r="U24" s="10">
        <v>142487.962</v>
      </c>
      <c r="V24" s="10">
        <v>323769.599</v>
      </c>
      <c r="W24" s="10">
        <v>309435.748</v>
      </c>
      <c r="X24" s="10">
        <v>258774.784</v>
      </c>
      <c r="Y24" s="10">
        <v>237853.524</v>
      </c>
      <c r="Z24" s="10">
        <v>225247.707</v>
      </c>
      <c r="AA24" s="10">
        <f>130363.307+28691.269</f>
        <v>159054.576</v>
      </c>
      <c r="AB24" s="10">
        <v>237441.283</v>
      </c>
      <c r="AC24" s="10">
        <f>179553.795+14686.47</f>
        <v>194240.265</v>
      </c>
      <c r="AD24" s="10">
        <v>156945.439</v>
      </c>
      <c r="AE24" s="10">
        <f>98348.911+114972.651</f>
        <v>213321.56199999998</v>
      </c>
      <c r="AF24" s="10">
        <v>135861.63</v>
      </c>
      <c r="AG24" s="10">
        <v>85843.807</v>
      </c>
      <c r="AH24" s="10">
        <v>116853.939</v>
      </c>
      <c r="AI24" s="10">
        <v>127985.33</v>
      </c>
      <c r="AJ24" s="10">
        <v>91355.253</v>
      </c>
      <c r="AK24" s="10">
        <v>92593.071</v>
      </c>
      <c r="AL24" s="10">
        <v>84574.711</v>
      </c>
      <c r="AM24" s="10">
        <v>75842.125</v>
      </c>
      <c r="AN24" s="10">
        <v>89980.252</v>
      </c>
      <c r="AO24" s="10">
        <v>61606.348</v>
      </c>
      <c r="AP24" s="10">
        <v>64799.05</v>
      </c>
      <c r="AQ24" s="10">
        <v>60028.122</v>
      </c>
      <c r="AR24" s="10">
        <v>56775.51</v>
      </c>
      <c r="AS24" s="10">
        <v>60692.806</v>
      </c>
      <c r="AT24" s="10">
        <v>52274.315</v>
      </c>
      <c r="AU24" s="10">
        <v>9554.628</v>
      </c>
      <c r="AV24" s="10">
        <f>55250.446+74.187</f>
        <v>55324.633</v>
      </c>
      <c r="AW24" s="10">
        <v>46805.705</v>
      </c>
      <c r="AX24" s="10">
        <v>41769.422</v>
      </c>
      <c r="AY24" s="10">
        <v>35221.296</v>
      </c>
      <c r="AZ24" s="10">
        <v>35684.241</v>
      </c>
      <c r="BA24" s="10">
        <v>33706.972</v>
      </c>
      <c r="BB24" s="10">
        <v>25126.563</v>
      </c>
      <c r="BC24" s="10">
        <v>21690.279</v>
      </c>
      <c r="BD24" s="10">
        <v>18105.453</v>
      </c>
      <c r="BE24" s="10">
        <v>10766.162</v>
      </c>
      <c r="BF24" s="10">
        <v>17628.326</v>
      </c>
      <c r="BG24" s="10">
        <v>7988.125</v>
      </c>
      <c r="BH24" s="10">
        <v>10859.555</v>
      </c>
      <c r="BI24" s="10">
        <v>8656.114</v>
      </c>
      <c r="BJ24" s="10">
        <v>8337.826</v>
      </c>
      <c r="BK24" s="10">
        <v>10122.504</v>
      </c>
      <c r="BL24" s="10">
        <v>2396</v>
      </c>
      <c r="BM24" s="10">
        <f>1040.344+9.175+80.524</f>
        <v>1130.0430000000001</v>
      </c>
      <c r="BN24" s="10">
        <v>1534.518</v>
      </c>
      <c r="BO24" s="10">
        <v>131.258</v>
      </c>
      <c r="BP24" s="10"/>
      <c r="BQ24" s="10"/>
      <c r="BR24" s="10"/>
      <c r="BS24" s="230">
        <f t="shared" si="0"/>
        <v>30910681.828</v>
      </c>
      <c r="BT24" s="230">
        <f t="shared" si="1"/>
        <v>4252336.154999998</v>
      </c>
      <c r="BU24" s="230">
        <f t="shared" si="2"/>
        <v>11298446.246000001</v>
      </c>
      <c r="BV24" s="230">
        <f t="shared" si="3"/>
        <v>14260502.328</v>
      </c>
      <c r="BW24" s="230">
        <f t="shared" si="4"/>
        <v>29811284.729000002</v>
      </c>
      <c r="BX24" s="230">
        <f t="shared" si="5"/>
        <v>1099397.099</v>
      </c>
      <c r="BY24" s="84"/>
      <c r="BZ24" s="230">
        <f t="shared" si="6"/>
        <v>30910681.828</v>
      </c>
    </row>
    <row r="25" spans="1:78" ht="12.75">
      <c r="A25" s="104" t="s">
        <v>559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108140.525</v>
      </c>
      <c r="H25" s="10">
        <v>0</v>
      </c>
      <c r="I25" s="10">
        <v>0</v>
      </c>
      <c r="J25" s="10">
        <v>0</v>
      </c>
      <c r="K25" s="10">
        <v>362013.673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23022.851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172.073</v>
      </c>
      <c r="AK25" s="10">
        <v>0</v>
      </c>
      <c r="AL25" s="10">
        <v>0</v>
      </c>
      <c r="AM25" s="10">
        <v>0</v>
      </c>
      <c r="AN25" s="10">
        <v>7472.6</v>
      </c>
      <c r="AO25" s="10">
        <v>0</v>
      </c>
      <c r="AP25" s="10">
        <v>0</v>
      </c>
      <c r="AQ25" s="10">
        <v>7183.315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1659.601</v>
      </c>
      <c r="BB25" s="10">
        <v>94.547</v>
      </c>
      <c r="BC25" s="10">
        <v>4412.839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/>
      <c r="BQ25" s="10"/>
      <c r="BR25" s="10"/>
      <c r="BS25" s="230">
        <f t="shared" si="0"/>
        <v>514172.024</v>
      </c>
      <c r="BT25" s="230">
        <f t="shared" si="1"/>
        <v>7567.147</v>
      </c>
      <c r="BU25" s="230">
        <f>SUM(D25+F25+H25+J25+K25+M25+O25+Q25+S25+X25+AI25+AJ25+AT27)</f>
        <v>371460.155</v>
      </c>
      <c r="BV25" s="230">
        <f t="shared" si="3"/>
        <v>112553.364</v>
      </c>
      <c r="BW25" s="230">
        <f t="shared" si="4"/>
        <v>491580.666</v>
      </c>
      <c r="BX25" s="230">
        <f t="shared" si="5"/>
        <v>8842.916</v>
      </c>
      <c r="BY25" s="84"/>
      <c r="BZ25" s="230">
        <f t="shared" si="6"/>
        <v>500423.58200000005</v>
      </c>
    </row>
    <row r="26" spans="1:78" ht="12.75">
      <c r="A26" s="104" t="s">
        <v>487</v>
      </c>
      <c r="B26" s="10">
        <v>10910.754</v>
      </c>
      <c r="C26" s="10">
        <v>0</v>
      </c>
      <c r="D26" s="10">
        <v>0</v>
      </c>
      <c r="E26" s="10">
        <v>0</v>
      </c>
      <c r="F26" s="10">
        <v>0</v>
      </c>
      <c r="G26" s="10">
        <v>16304.715</v>
      </c>
      <c r="H26" s="10">
        <v>0</v>
      </c>
      <c r="I26" s="10">
        <v>75365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/>
      <c r="BQ26" s="10"/>
      <c r="BR26" s="10"/>
      <c r="BS26" s="230">
        <f t="shared" si="0"/>
        <v>102580.469</v>
      </c>
      <c r="BT26" s="230">
        <f t="shared" si="1"/>
        <v>0</v>
      </c>
      <c r="BU26" s="230">
        <f t="shared" si="2"/>
        <v>0</v>
      </c>
      <c r="BV26" s="230">
        <f t="shared" si="3"/>
        <v>102580.469</v>
      </c>
      <c r="BW26" s="230">
        <f t="shared" si="4"/>
        <v>102580.469</v>
      </c>
      <c r="BX26" s="230">
        <f t="shared" si="5"/>
        <v>0</v>
      </c>
      <c r="BY26" s="84"/>
      <c r="BZ26" s="230">
        <f t="shared" si="6"/>
        <v>102580.469</v>
      </c>
    </row>
    <row r="27" spans="1:78" ht="12.75">
      <c r="A27" s="104" t="s">
        <v>486</v>
      </c>
      <c r="B27" s="10">
        <v>-917863.405</v>
      </c>
      <c r="C27" s="10">
        <v>-649543.788</v>
      </c>
      <c r="D27" s="10">
        <v>-614220.372</v>
      </c>
      <c r="E27" s="10">
        <v>-533181.684</v>
      </c>
      <c r="F27" s="10">
        <v>-514691.498</v>
      </c>
      <c r="G27" s="10">
        <v>-240721.213</v>
      </c>
      <c r="H27" s="10">
        <v>-243713.12</v>
      </c>
      <c r="I27" s="10">
        <v>-184762.886</v>
      </c>
      <c r="J27" s="10">
        <v>-188392.256</v>
      </c>
      <c r="K27" s="10">
        <v>-180663.3</v>
      </c>
      <c r="L27" s="10">
        <v>-171168.485</v>
      </c>
      <c r="M27" s="10">
        <v>-162637.647</v>
      </c>
      <c r="N27" s="10">
        <v>-140203.575</v>
      </c>
      <c r="O27" s="10">
        <v>-134743.624</v>
      </c>
      <c r="P27" s="10">
        <v>-130582</v>
      </c>
      <c r="Q27" s="10">
        <v>-129476.176</v>
      </c>
      <c r="R27" s="10">
        <v>-110800.81</v>
      </c>
      <c r="S27" s="10">
        <v>-91892</v>
      </c>
      <c r="T27" s="10">
        <v>-90449.54</v>
      </c>
      <c r="U27" s="10">
        <v>-42686.089</v>
      </c>
      <c r="V27" s="10">
        <v>-81051.118</v>
      </c>
      <c r="W27" s="10">
        <v>-76438.408</v>
      </c>
      <c r="X27" s="10">
        <v>-64342.237</v>
      </c>
      <c r="Y27" s="10">
        <v>-55298.757</v>
      </c>
      <c r="Z27" s="10">
        <v>-55734.697</v>
      </c>
      <c r="AA27" s="10">
        <v>-46258.377</v>
      </c>
      <c r="AB27" s="10">
        <v>-43676.586</v>
      </c>
      <c r="AC27" s="10">
        <v>-43864.886</v>
      </c>
      <c r="AD27" s="10">
        <v>-41770.597</v>
      </c>
      <c r="AE27" s="10">
        <v>-36561.483</v>
      </c>
      <c r="AF27" s="10">
        <v>-36491.723</v>
      </c>
      <c r="AG27" s="10">
        <v>-21163.27</v>
      </c>
      <c r="AH27" s="10">
        <v>-29203.437</v>
      </c>
      <c r="AI27" s="10">
        <v>-28573.278</v>
      </c>
      <c r="AJ27" s="10">
        <v>-23513.393</v>
      </c>
      <c r="AK27" s="10">
        <v>-21301.263</v>
      </c>
      <c r="AL27" s="10">
        <v>-20856.826</v>
      </c>
      <c r="AM27" s="10">
        <v>-18488.233</v>
      </c>
      <c r="AN27" s="10">
        <v>-18147.552</v>
      </c>
      <c r="AO27" s="10">
        <v>-11236.635</v>
      </c>
      <c r="AP27" s="10">
        <v>-15484.357</v>
      </c>
      <c r="AQ27" s="10">
        <v>-14916.593</v>
      </c>
      <c r="AR27" s="10">
        <v>-15053.94</v>
      </c>
      <c r="AS27" s="10">
        <v>-13603.808</v>
      </c>
      <c r="AT27" s="10">
        <v>-13748.442</v>
      </c>
      <c r="AU27" s="10">
        <v>-4904.601</v>
      </c>
      <c r="AV27" s="10">
        <v>-12056.639</v>
      </c>
      <c r="AW27" s="10">
        <v>-11632.962</v>
      </c>
      <c r="AX27" s="10">
        <v>-10414.162</v>
      </c>
      <c r="AY27" s="10">
        <v>-8499.078</v>
      </c>
      <c r="AZ27" s="10">
        <v>-7836.744</v>
      </c>
      <c r="BA27" s="10">
        <v>-7425.562</v>
      </c>
      <c r="BB27" s="10">
        <v>-6628.462</v>
      </c>
      <c r="BC27" s="10">
        <v>-5775.457</v>
      </c>
      <c r="BD27" s="10">
        <v>-4446.101</v>
      </c>
      <c r="BE27" s="10">
        <v>-3536.764</v>
      </c>
      <c r="BF27" s="10">
        <v>-2566.659</v>
      </c>
      <c r="BG27" s="10">
        <v>-585.424</v>
      </c>
      <c r="BH27" s="10">
        <v>-2923.403</v>
      </c>
      <c r="BI27" s="10">
        <v>-2290.64</v>
      </c>
      <c r="BJ27" s="10">
        <v>-325.942</v>
      </c>
      <c r="BK27" s="10">
        <v>-1962.614</v>
      </c>
      <c r="BL27" s="10">
        <v>-692</v>
      </c>
      <c r="BM27" s="10">
        <v>-227.41</v>
      </c>
      <c r="BN27" s="10">
        <v>0</v>
      </c>
      <c r="BO27" s="10">
        <v>0</v>
      </c>
      <c r="BP27" s="10"/>
      <c r="BQ27" s="10"/>
      <c r="BR27" s="10"/>
      <c r="BS27" s="230">
        <f t="shared" si="0"/>
        <v>-6413903.988</v>
      </c>
      <c r="BT27" s="230">
        <f t="shared" si="1"/>
        <v>-1108891.847</v>
      </c>
      <c r="BU27" s="230">
        <f t="shared" si="2"/>
        <v>-2390607.343000001</v>
      </c>
      <c r="BV27" s="230">
        <f t="shared" si="3"/>
        <v>-2655385.062</v>
      </c>
      <c r="BW27" s="230">
        <f t="shared" si="4"/>
        <v>-6154884.252</v>
      </c>
      <c r="BX27" s="230">
        <f t="shared" si="5"/>
        <v>-259019.73599999998</v>
      </c>
      <c r="BY27" s="84"/>
      <c r="BZ27" s="230">
        <f t="shared" si="6"/>
        <v>-6413903.988</v>
      </c>
    </row>
    <row r="28" spans="1:78" ht="3" customHeight="1">
      <c r="A28" s="10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230"/>
      <c r="BT28" s="230"/>
      <c r="BU28" s="230"/>
      <c r="BV28" s="230"/>
      <c r="BW28" s="230"/>
      <c r="BX28" s="230"/>
      <c r="BY28" s="84"/>
      <c r="BZ28" s="230"/>
    </row>
    <row r="29" spans="1:78" ht="12" customHeight="1">
      <c r="A29" s="231" t="s">
        <v>498</v>
      </c>
      <c r="B29" s="226">
        <f>SUM(B22:B27)</f>
        <v>4903596.396</v>
      </c>
      <c r="C29" s="226">
        <f>SUM(C22:C27)</f>
        <v>1842971.3320000002</v>
      </c>
      <c r="D29" s="226">
        <f>SUM(D22:D27)</f>
        <v>2478235.9560000002</v>
      </c>
      <c r="E29" s="226">
        <f>SUM(E22:E27)</f>
        <v>1845274.3900000001</v>
      </c>
      <c r="F29" s="226">
        <f aca="true" t="shared" si="13" ref="F29:M29">SUM(F22:F27)</f>
        <v>2108259.684</v>
      </c>
      <c r="G29" s="226">
        <f t="shared" si="13"/>
        <v>1051757.632</v>
      </c>
      <c r="H29" s="226">
        <f t="shared" si="13"/>
        <v>959050.7440000001</v>
      </c>
      <c r="I29" s="226">
        <f t="shared" si="13"/>
        <v>1322692.222</v>
      </c>
      <c r="J29" s="226">
        <f>SUM(J22:J27)</f>
        <v>1243120.905</v>
      </c>
      <c r="K29" s="226">
        <f>SUM(K22:K27)</f>
        <v>896443.584</v>
      </c>
      <c r="L29" s="226">
        <f t="shared" si="13"/>
        <v>790316.7050000001</v>
      </c>
      <c r="M29" s="226">
        <f t="shared" si="13"/>
        <v>513735.257</v>
      </c>
      <c r="N29" s="226">
        <f aca="true" t="shared" si="14" ref="N29:AS29">SUM(N22:N27)</f>
        <v>566968.6259999999</v>
      </c>
      <c r="O29" s="226">
        <f t="shared" si="14"/>
        <v>502014.19899999996</v>
      </c>
      <c r="P29" s="226">
        <f t="shared" si="14"/>
        <v>373655.183</v>
      </c>
      <c r="Q29" s="226">
        <f t="shared" si="14"/>
        <v>440705.38300000003</v>
      </c>
      <c r="R29" s="226">
        <f t="shared" si="14"/>
        <v>377383.059</v>
      </c>
      <c r="S29" s="226">
        <f t="shared" si="14"/>
        <v>288534</v>
      </c>
      <c r="T29" s="226">
        <f t="shared" si="14"/>
        <v>272250.212</v>
      </c>
      <c r="U29" s="226">
        <f t="shared" si="14"/>
        <v>103467.46099999998</v>
      </c>
      <c r="V29" s="226">
        <f t="shared" si="14"/>
        <v>242718.48099999997</v>
      </c>
      <c r="W29" s="226">
        <f t="shared" si="14"/>
        <v>315905.87100000004</v>
      </c>
      <c r="X29" s="226">
        <f t="shared" si="14"/>
        <v>198771.43000000002</v>
      </c>
      <c r="Y29" s="226">
        <f t="shared" si="14"/>
        <v>185480.201</v>
      </c>
      <c r="Z29" s="226">
        <f t="shared" si="14"/>
        <v>207819.78999999998</v>
      </c>
      <c r="AA29" s="226">
        <f t="shared" si="14"/>
        <v>112796.199</v>
      </c>
      <c r="AB29" s="226">
        <f t="shared" si="14"/>
        <v>197003.30899999998</v>
      </c>
      <c r="AC29" s="226">
        <f t="shared" si="14"/>
        <v>152852.41700000002</v>
      </c>
      <c r="AD29" s="226">
        <f t="shared" si="14"/>
        <v>165922.793</v>
      </c>
      <c r="AE29" s="226">
        <f t="shared" si="14"/>
        <v>244587.95599999995</v>
      </c>
      <c r="AF29" s="226">
        <f t="shared" si="14"/>
        <v>107737.28700000001</v>
      </c>
      <c r="AG29" s="226">
        <f t="shared" si="14"/>
        <v>65515.50899999999</v>
      </c>
      <c r="AH29" s="226">
        <f t="shared" si="14"/>
        <v>88786.84099999999</v>
      </c>
      <c r="AI29" s="226">
        <f t="shared" si="14"/>
        <v>100327.26999999999</v>
      </c>
      <c r="AJ29" s="226">
        <f t="shared" si="14"/>
        <v>68029.504</v>
      </c>
      <c r="AK29" s="226">
        <f t="shared" si="14"/>
        <v>73269.033</v>
      </c>
      <c r="AL29" s="226">
        <f t="shared" si="14"/>
        <v>63717.884999999995</v>
      </c>
      <c r="AM29" s="226">
        <f t="shared" si="14"/>
        <v>58538.988999999994</v>
      </c>
      <c r="AN29" s="226">
        <f t="shared" si="14"/>
        <v>79305.3</v>
      </c>
      <c r="AO29" s="226">
        <f t="shared" si="14"/>
        <v>52237.12699999999</v>
      </c>
      <c r="AP29" s="226">
        <f t="shared" si="14"/>
        <v>49554.145000000004</v>
      </c>
      <c r="AQ29" s="226">
        <f t="shared" si="14"/>
        <v>52294.844000000005</v>
      </c>
      <c r="AR29" s="226">
        <f t="shared" si="14"/>
        <v>43424.543</v>
      </c>
      <c r="AS29" s="226">
        <f t="shared" si="14"/>
        <v>48663.326</v>
      </c>
      <c r="AT29" s="226">
        <f>SUM(AT22:AT27)</f>
        <v>38752.433000000005</v>
      </c>
      <c r="AU29" s="226">
        <f>SUM(AU22:AU27)</f>
        <v>4650.027000000001</v>
      </c>
      <c r="AV29" s="226">
        <f aca="true" t="shared" si="15" ref="AV29:BO29">SUM(AV22:AV27)</f>
        <v>43267.994000000006</v>
      </c>
      <c r="AW29" s="226">
        <f t="shared" si="15"/>
        <v>35172.743</v>
      </c>
      <c r="AX29" s="226">
        <f t="shared" si="15"/>
        <v>31355.26</v>
      </c>
      <c r="AY29" s="226">
        <f t="shared" si="15"/>
        <v>26722.218</v>
      </c>
      <c r="AZ29" s="226">
        <f t="shared" si="15"/>
        <v>27847.497000000003</v>
      </c>
      <c r="BA29" s="226">
        <f t="shared" si="15"/>
        <v>28649.089000000007</v>
      </c>
      <c r="BB29" s="226">
        <f t="shared" si="15"/>
        <v>18790.522999999997</v>
      </c>
      <c r="BC29" s="226">
        <f t="shared" si="15"/>
        <v>20327.661</v>
      </c>
      <c r="BD29" s="226">
        <f t="shared" si="15"/>
        <v>13659.352000000003</v>
      </c>
      <c r="BE29" s="226">
        <f t="shared" si="15"/>
        <v>7229.398</v>
      </c>
      <c r="BF29" s="226">
        <f>SUM(BF22:BF27)</f>
        <v>15061.667000000001</v>
      </c>
      <c r="BG29" s="226">
        <f t="shared" si="15"/>
        <v>6930.891</v>
      </c>
      <c r="BH29" s="226">
        <f t="shared" si="15"/>
        <v>8026.152</v>
      </c>
      <c r="BI29" s="226">
        <f t="shared" si="15"/>
        <v>6541.666000000001</v>
      </c>
      <c r="BJ29" s="226">
        <f t="shared" si="15"/>
        <v>8011.883999999999</v>
      </c>
      <c r="BK29" s="226">
        <f t="shared" si="15"/>
        <v>8159.890000000001</v>
      </c>
      <c r="BL29" s="226">
        <f t="shared" si="15"/>
        <v>1704</v>
      </c>
      <c r="BM29" s="226">
        <f t="shared" si="15"/>
        <v>902.6330000000002</v>
      </c>
      <c r="BN29" s="226">
        <f t="shared" si="15"/>
        <v>1534.518</v>
      </c>
      <c r="BO29" s="226">
        <f t="shared" si="15"/>
        <v>131.258</v>
      </c>
      <c r="BP29" s="226"/>
      <c r="BQ29" s="226"/>
      <c r="BR29" s="226"/>
      <c r="BS29" s="230">
        <f t="shared" si="0"/>
        <v>26209121.734000005</v>
      </c>
      <c r="BT29" s="230">
        <f t="shared" si="1"/>
        <v>3215960.558</v>
      </c>
      <c r="BU29" s="230">
        <f t="shared" si="2"/>
        <v>9835980.349</v>
      </c>
      <c r="BV29" s="230">
        <f t="shared" si="3"/>
        <v>12179130.629</v>
      </c>
      <c r="BW29" s="230">
        <f t="shared" si="4"/>
        <v>25231071.536</v>
      </c>
      <c r="BX29" s="230">
        <f t="shared" si="5"/>
        <v>978050.1979999999</v>
      </c>
      <c r="BY29" s="84"/>
      <c r="BZ29" s="230">
        <f t="shared" si="6"/>
        <v>26209121.733999997</v>
      </c>
    </row>
    <row r="30" spans="1:78" ht="3.75" customHeight="1">
      <c r="A30" s="105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230"/>
      <c r="BT30" s="230"/>
      <c r="BU30" s="230"/>
      <c r="BV30" s="230"/>
      <c r="BW30" s="230"/>
      <c r="BX30" s="230"/>
      <c r="BY30" s="84"/>
      <c r="BZ30" s="230"/>
    </row>
    <row r="31" spans="1:78" ht="12.75">
      <c r="A31" s="105" t="s">
        <v>507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230"/>
      <c r="BT31" s="230"/>
      <c r="BU31" s="230"/>
      <c r="BV31" s="230"/>
      <c r="BW31" s="230"/>
      <c r="BX31" s="230"/>
      <c r="BY31" s="84"/>
      <c r="BZ31" s="230"/>
    </row>
    <row r="32" spans="1:78" ht="12.75">
      <c r="A32" s="104" t="s">
        <v>503</v>
      </c>
      <c r="B32" s="10">
        <v>43163.989</v>
      </c>
      <c r="C32" s="10">
        <v>20514.245</v>
      </c>
      <c r="D32" s="10">
        <v>22711.471</v>
      </c>
      <c r="E32" s="10">
        <v>11742.609</v>
      </c>
      <c r="F32" s="10">
        <v>26741.266</v>
      </c>
      <c r="G32" s="10">
        <v>5969.348</v>
      </c>
      <c r="H32" s="10">
        <v>11120.579</v>
      </c>
      <c r="I32" s="10">
        <v>15147.996</v>
      </c>
      <c r="J32" s="10">
        <v>23396.475</v>
      </c>
      <c r="K32" s="10">
        <v>14148.405</v>
      </c>
      <c r="L32" s="10">
        <v>0</v>
      </c>
      <c r="M32" s="10">
        <v>5921.024</v>
      </c>
      <c r="N32" s="10">
        <v>5986.183</v>
      </c>
      <c r="O32" s="10">
        <v>10040.699</v>
      </c>
      <c r="P32" s="10">
        <v>0</v>
      </c>
      <c r="Q32" s="10">
        <v>9008.929</v>
      </c>
      <c r="R32" s="10">
        <v>10848.332</v>
      </c>
      <c r="S32" s="10">
        <v>7202</v>
      </c>
      <c r="T32" s="10">
        <v>4230.952</v>
      </c>
      <c r="U32" s="10">
        <v>0</v>
      </c>
      <c r="V32" s="10">
        <v>1713.934</v>
      </c>
      <c r="W32" s="10">
        <v>15879.378</v>
      </c>
      <c r="X32" s="10">
        <v>0</v>
      </c>
      <c r="Y32" s="10">
        <v>852.674</v>
      </c>
      <c r="Z32" s="10">
        <v>2251.539</v>
      </c>
      <c r="AA32" s="10">
        <v>0</v>
      </c>
      <c r="AB32" s="10">
        <v>5361.654</v>
      </c>
      <c r="AC32" s="10">
        <v>1144.939</v>
      </c>
      <c r="AD32" s="10">
        <v>700</v>
      </c>
      <c r="AE32" s="10">
        <v>8031.874</v>
      </c>
      <c r="AF32" s="10">
        <v>1282.735</v>
      </c>
      <c r="AG32" s="10">
        <v>0</v>
      </c>
      <c r="AH32" s="10">
        <v>944.781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780.175</v>
      </c>
      <c r="AO32" s="10">
        <v>314.664</v>
      </c>
      <c r="AP32" s="10">
        <v>1060.67</v>
      </c>
      <c r="AQ32" s="10">
        <v>0</v>
      </c>
      <c r="AR32" s="10">
        <v>800.617</v>
      </c>
      <c r="AS32" s="10">
        <v>0</v>
      </c>
      <c r="AT32" s="10">
        <v>92.399</v>
      </c>
      <c r="AU32" s="10">
        <v>1208</v>
      </c>
      <c r="AV32" s="10">
        <v>300.86</v>
      </c>
      <c r="AW32" s="10">
        <v>287.724</v>
      </c>
      <c r="AX32" s="10">
        <v>62.451</v>
      </c>
      <c r="AY32" s="10">
        <v>0</v>
      </c>
      <c r="AZ32" s="10">
        <v>0</v>
      </c>
      <c r="BA32" s="10">
        <v>1508.699</v>
      </c>
      <c r="BB32" s="10">
        <v>0</v>
      </c>
      <c r="BC32" s="10">
        <v>0</v>
      </c>
      <c r="BD32" s="10">
        <v>0</v>
      </c>
      <c r="BE32" s="10">
        <v>0</v>
      </c>
      <c r="BF32" s="10">
        <v>1252.531</v>
      </c>
      <c r="BG32" s="10">
        <v>0</v>
      </c>
      <c r="BH32" s="10">
        <v>278.406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31.74</v>
      </c>
      <c r="BO32" s="10">
        <v>0</v>
      </c>
      <c r="BP32" s="10"/>
      <c r="BQ32" s="10"/>
      <c r="BR32" s="10"/>
      <c r="BS32" s="230">
        <f t="shared" si="0"/>
        <v>294036.946</v>
      </c>
      <c r="BT32" s="230">
        <f t="shared" si="1"/>
        <v>27450.245999999996</v>
      </c>
      <c r="BU32" s="230">
        <f t="shared" si="2"/>
        <v>130383.247</v>
      </c>
      <c r="BV32" s="230">
        <f t="shared" si="3"/>
        <v>115396.499</v>
      </c>
      <c r="BW32" s="230">
        <f t="shared" si="4"/>
        <v>273229.99199999997</v>
      </c>
      <c r="BX32" s="230">
        <f>SUM(W32+Y32+Z32+AG40+AO32+AQ32+AS32+BA32+BG32+BI32+BJ32)</f>
        <v>29598.499</v>
      </c>
      <c r="BY32" s="84"/>
      <c r="BZ32" s="230">
        <f t="shared" si="6"/>
        <v>302828.491</v>
      </c>
    </row>
    <row r="33" spans="1:78" ht="12.75">
      <c r="A33" s="104" t="s">
        <v>485</v>
      </c>
      <c r="B33" s="10">
        <v>0</v>
      </c>
      <c r="C33" s="10">
        <v>587.581</v>
      </c>
      <c r="D33" s="10">
        <v>9232.135</v>
      </c>
      <c r="E33" s="10">
        <v>12.092</v>
      </c>
      <c r="F33" s="10">
        <v>0</v>
      </c>
      <c r="G33" s="10">
        <v>8471.587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4733.444</v>
      </c>
      <c r="N33" s="10">
        <v>1619.61</v>
      </c>
      <c r="O33" s="10">
        <v>229.917</v>
      </c>
      <c r="P33" s="10">
        <v>0</v>
      </c>
      <c r="Q33" s="10">
        <v>0</v>
      </c>
      <c r="R33" s="10">
        <v>0</v>
      </c>
      <c r="S33" s="10">
        <v>0</v>
      </c>
      <c r="T33" s="10">
        <v>88.533</v>
      </c>
      <c r="U33" s="10">
        <v>0</v>
      </c>
      <c r="V33" s="10">
        <v>130.574</v>
      </c>
      <c r="W33" s="10">
        <v>30.564</v>
      </c>
      <c r="X33" s="10">
        <v>0</v>
      </c>
      <c r="Y33" s="10">
        <v>922.867</v>
      </c>
      <c r="Z33" s="10">
        <v>1087.123</v>
      </c>
      <c r="AA33" s="10">
        <v>0</v>
      </c>
      <c r="AB33" s="10">
        <v>0</v>
      </c>
      <c r="AC33" s="10">
        <v>0</v>
      </c>
      <c r="AD33" s="10">
        <v>0</v>
      </c>
      <c r="AE33" s="10">
        <v>895.711</v>
      </c>
      <c r="AF33" s="10">
        <v>7.252</v>
      </c>
      <c r="AG33" s="10">
        <v>0</v>
      </c>
      <c r="AH33" s="10">
        <v>81.886</v>
      </c>
      <c r="AI33" s="10">
        <v>0</v>
      </c>
      <c r="AJ33" s="10">
        <v>0</v>
      </c>
      <c r="AK33" s="10">
        <v>0</v>
      </c>
      <c r="AL33" s="10">
        <v>0</v>
      </c>
      <c r="AM33" s="10">
        <v>169.474</v>
      </c>
      <c r="AN33" s="10">
        <v>0</v>
      </c>
      <c r="AO33" s="10">
        <v>0</v>
      </c>
      <c r="AP33" s="10">
        <v>0</v>
      </c>
      <c r="AQ33" s="10">
        <v>280.869</v>
      </c>
      <c r="AR33" s="10">
        <v>412.834</v>
      </c>
      <c r="AS33" s="10">
        <v>95.082</v>
      </c>
      <c r="AT33" s="10">
        <v>0</v>
      </c>
      <c r="AU33" s="10">
        <v>587.581</v>
      </c>
      <c r="AV33" s="10">
        <v>2.233</v>
      </c>
      <c r="AW33" s="10">
        <v>556.37</v>
      </c>
      <c r="AX33" s="10">
        <v>4.515</v>
      </c>
      <c r="AY33" s="10">
        <v>0</v>
      </c>
      <c r="AZ33" s="10">
        <v>86.053</v>
      </c>
      <c r="BA33" s="10">
        <v>0</v>
      </c>
      <c r="BB33" s="10">
        <v>0</v>
      </c>
      <c r="BC33" s="10">
        <v>0</v>
      </c>
      <c r="BD33" s="10">
        <v>0</v>
      </c>
      <c r="BE33" s="10">
        <v>1.255</v>
      </c>
      <c r="BF33" s="10">
        <v>23.545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/>
      <c r="BQ33" s="10"/>
      <c r="BR33" s="10"/>
      <c r="BS33" s="230">
        <f t="shared" si="0"/>
        <v>30350.686999999987</v>
      </c>
      <c r="BT33" s="230">
        <f t="shared" si="1"/>
        <v>1695.866</v>
      </c>
      <c r="BU33" s="230">
        <f t="shared" si="2"/>
        <v>14195.496000000001</v>
      </c>
      <c r="BV33" s="230">
        <f t="shared" si="3"/>
        <v>12042.82</v>
      </c>
      <c r="BW33" s="230">
        <f t="shared" si="4"/>
        <v>27934.182</v>
      </c>
      <c r="BX33" s="230">
        <f t="shared" si="5"/>
        <v>2416.505</v>
      </c>
      <c r="BY33" s="84"/>
      <c r="BZ33" s="230">
        <f t="shared" si="6"/>
        <v>30350.687</v>
      </c>
    </row>
    <row r="34" spans="1:78" ht="12.75">
      <c r="A34" s="104" t="s">
        <v>560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5852.905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5599.068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/>
      <c r="BQ34" s="10"/>
      <c r="BR34" s="10"/>
      <c r="BS34" s="230">
        <f t="shared" si="0"/>
        <v>11451.973</v>
      </c>
      <c r="BT34" s="230">
        <f t="shared" si="1"/>
        <v>0</v>
      </c>
      <c r="BU34" s="230">
        <f t="shared" si="2"/>
        <v>0</v>
      </c>
      <c r="BV34" s="230">
        <f t="shared" si="3"/>
        <v>11451.973</v>
      </c>
      <c r="BW34" s="230">
        <f t="shared" si="4"/>
        <v>11451.973</v>
      </c>
      <c r="BX34" s="230">
        <f t="shared" si="5"/>
        <v>0</v>
      </c>
      <c r="BY34" s="84"/>
      <c r="BZ34" s="230">
        <f t="shared" si="6"/>
        <v>11451.973</v>
      </c>
    </row>
    <row r="35" spans="1:78" ht="12.75">
      <c r="A35" s="104" t="s">
        <v>484</v>
      </c>
      <c r="B35" s="10">
        <v>0</v>
      </c>
      <c r="C35" s="10">
        <v>3593.134</v>
      </c>
      <c r="D35" s="10">
        <v>5347.717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8041.863</v>
      </c>
      <c r="K35" s="10">
        <v>0</v>
      </c>
      <c r="L35" s="10">
        <v>0</v>
      </c>
      <c r="M35" s="10">
        <v>0</v>
      </c>
      <c r="N35" s="10">
        <v>1357.69</v>
      </c>
      <c r="O35" s="10">
        <v>4064.797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645.144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/>
      <c r="BQ35" s="10"/>
      <c r="BR35" s="10"/>
      <c r="BS35" s="230">
        <f t="shared" si="0"/>
        <v>23050.344999999998</v>
      </c>
      <c r="BT35" s="230">
        <f t="shared" si="1"/>
        <v>3593.134</v>
      </c>
      <c r="BU35" s="230">
        <f t="shared" si="2"/>
        <v>17454.377</v>
      </c>
      <c r="BV35" s="230">
        <f t="shared" si="3"/>
        <v>2002.834</v>
      </c>
      <c r="BW35" s="230">
        <f t="shared" si="4"/>
        <v>23050.344999999998</v>
      </c>
      <c r="BX35" s="230">
        <f t="shared" si="5"/>
        <v>0</v>
      </c>
      <c r="BY35" s="84"/>
      <c r="BZ35" s="230">
        <f t="shared" si="6"/>
        <v>23050.344999999998</v>
      </c>
    </row>
    <row r="36" spans="1:78" ht="3" customHeight="1">
      <c r="A36" s="103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230"/>
      <c r="BT36" s="230">
        <f t="shared" si="1"/>
        <v>0</v>
      </c>
      <c r="BU36" s="230"/>
      <c r="BV36" s="230">
        <f t="shared" si="3"/>
        <v>0</v>
      </c>
      <c r="BW36" s="230"/>
      <c r="BX36" s="230"/>
      <c r="BY36" s="84"/>
      <c r="BZ36" s="230"/>
    </row>
    <row r="37" spans="1:78" ht="12" customHeight="1">
      <c r="A37" s="231" t="s">
        <v>499</v>
      </c>
      <c r="B37" s="226">
        <f aca="true" t="shared" si="16" ref="B37:AG37">SUM(B32:B35)</f>
        <v>43163.989</v>
      </c>
      <c r="C37" s="226">
        <f t="shared" si="16"/>
        <v>24694.96</v>
      </c>
      <c r="D37" s="226">
        <f t="shared" si="16"/>
        <v>37291.323</v>
      </c>
      <c r="E37" s="226">
        <f t="shared" si="16"/>
        <v>11754.701000000001</v>
      </c>
      <c r="F37" s="226">
        <f t="shared" si="16"/>
        <v>26741.266</v>
      </c>
      <c r="G37" s="226">
        <f t="shared" si="16"/>
        <v>14440.935</v>
      </c>
      <c r="H37" s="226">
        <f t="shared" si="16"/>
        <v>11120.579</v>
      </c>
      <c r="I37" s="226">
        <f t="shared" si="16"/>
        <v>15147.996</v>
      </c>
      <c r="J37" s="226">
        <f t="shared" si="16"/>
        <v>31438.338</v>
      </c>
      <c r="K37" s="226">
        <f t="shared" si="16"/>
        <v>14148.405</v>
      </c>
      <c r="L37" s="226">
        <f t="shared" si="16"/>
        <v>0</v>
      </c>
      <c r="M37" s="226">
        <f t="shared" si="16"/>
        <v>10654.468</v>
      </c>
      <c r="N37" s="226">
        <f t="shared" si="16"/>
        <v>8963.483</v>
      </c>
      <c r="O37" s="226">
        <f t="shared" si="16"/>
        <v>14335.413</v>
      </c>
      <c r="P37" s="226">
        <f t="shared" si="16"/>
        <v>0</v>
      </c>
      <c r="Q37" s="226">
        <f t="shared" si="16"/>
        <v>9008.929</v>
      </c>
      <c r="R37" s="226">
        <f t="shared" si="16"/>
        <v>10848.332</v>
      </c>
      <c r="S37" s="226">
        <f t="shared" si="16"/>
        <v>7202</v>
      </c>
      <c r="T37" s="226">
        <f t="shared" si="16"/>
        <v>10172.39</v>
      </c>
      <c r="U37" s="226">
        <f t="shared" si="16"/>
        <v>0</v>
      </c>
      <c r="V37" s="226">
        <f t="shared" si="16"/>
        <v>1844.508</v>
      </c>
      <c r="W37" s="226">
        <f t="shared" si="16"/>
        <v>15909.942000000001</v>
      </c>
      <c r="X37" s="226">
        <f t="shared" si="16"/>
        <v>0</v>
      </c>
      <c r="Y37" s="226">
        <f t="shared" si="16"/>
        <v>1775.541</v>
      </c>
      <c r="Z37" s="226">
        <f t="shared" si="16"/>
        <v>3338.6620000000003</v>
      </c>
      <c r="AA37" s="226">
        <f t="shared" si="16"/>
        <v>0</v>
      </c>
      <c r="AB37" s="226">
        <f t="shared" si="16"/>
        <v>10960.722000000002</v>
      </c>
      <c r="AC37" s="226">
        <f t="shared" si="16"/>
        <v>1144.939</v>
      </c>
      <c r="AD37" s="226">
        <f t="shared" si="16"/>
        <v>700</v>
      </c>
      <c r="AE37" s="226">
        <f t="shared" si="16"/>
        <v>8927.585</v>
      </c>
      <c r="AF37" s="226">
        <f t="shared" si="16"/>
        <v>1289.9869999999999</v>
      </c>
      <c r="AG37" s="226">
        <f t="shared" si="16"/>
        <v>0</v>
      </c>
      <c r="AH37" s="226">
        <f aca="true" t="shared" si="17" ref="AH37:BO37">SUM(AH32:AH35)</f>
        <v>1026.667</v>
      </c>
      <c r="AI37" s="226">
        <f t="shared" si="17"/>
        <v>0</v>
      </c>
      <c r="AJ37" s="226">
        <f t="shared" si="17"/>
        <v>0</v>
      </c>
      <c r="AK37" s="226">
        <f t="shared" si="17"/>
        <v>0</v>
      </c>
      <c r="AL37" s="226">
        <f t="shared" si="17"/>
        <v>0</v>
      </c>
      <c r="AM37" s="226">
        <f t="shared" si="17"/>
        <v>169.474</v>
      </c>
      <c r="AN37" s="226">
        <f t="shared" si="17"/>
        <v>780.175</v>
      </c>
      <c r="AO37" s="226">
        <f t="shared" si="17"/>
        <v>314.664</v>
      </c>
      <c r="AP37" s="226">
        <f t="shared" si="17"/>
        <v>1060.67</v>
      </c>
      <c r="AQ37" s="226">
        <f t="shared" si="17"/>
        <v>280.869</v>
      </c>
      <c r="AR37" s="226">
        <f t="shared" si="17"/>
        <v>1213.451</v>
      </c>
      <c r="AS37" s="226">
        <f t="shared" si="17"/>
        <v>95.082</v>
      </c>
      <c r="AT37" s="226">
        <f t="shared" si="17"/>
        <v>92.399</v>
      </c>
      <c r="AU37" s="226">
        <f>SUM(AU32:AU35)</f>
        <v>1795.5810000000001</v>
      </c>
      <c r="AV37" s="226">
        <f t="shared" si="17"/>
        <v>303.093</v>
      </c>
      <c r="AW37" s="226">
        <f t="shared" si="17"/>
        <v>844.094</v>
      </c>
      <c r="AX37" s="226">
        <f t="shared" si="17"/>
        <v>66.966</v>
      </c>
      <c r="AY37" s="226">
        <f t="shared" si="17"/>
        <v>0</v>
      </c>
      <c r="AZ37" s="226">
        <f t="shared" si="17"/>
        <v>86.053</v>
      </c>
      <c r="BA37" s="226">
        <f t="shared" si="17"/>
        <v>1508.699</v>
      </c>
      <c r="BB37" s="226">
        <f t="shared" si="17"/>
        <v>0</v>
      </c>
      <c r="BC37" s="226">
        <f t="shared" si="17"/>
        <v>0</v>
      </c>
      <c r="BD37" s="226">
        <f t="shared" si="17"/>
        <v>0</v>
      </c>
      <c r="BE37" s="226">
        <f t="shared" si="17"/>
        <v>1.255</v>
      </c>
      <c r="BF37" s="226">
        <f>SUM(BF32:BF35)</f>
        <v>1921.22</v>
      </c>
      <c r="BG37" s="226">
        <f t="shared" si="17"/>
        <v>0</v>
      </c>
      <c r="BH37" s="226">
        <f t="shared" si="17"/>
        <v>278.406</v>
      </c>
      <c r="BI37" s="226">
        <f t="shared" si="17"/>
        <v>0</v>
      </c>
      <c r="BJ37" s="226">
        <f t="shared" si="17"/>
        <v>0</v>
      </c>
      <c r="BK37" s="226">
        <f t="shared" si="17"/>
        <v>0</v>
      </c>
      <c r="BL37" s="226">
        <f t="shared" si="17"/>
        <v>0</v>
      </c>
      <c r="BM37" s="226">
        <f t="shared" si="17"/>
        <v>0</v>
      </c>
      <c r="BN37" s="226">
        <f t="shared" si="17"/>
        <v>31.74</v>
      </c>
      <c r="BO37" s="226">
        <f t="shared" si="17"/>
        <v>0</v>
      </c>
      <c r="BP37" s="226"/>
      <c r="BQ37" s="226"/>
      <c r="BR37" s="226"/>
      <c r="BS37" s="230">
        <f t="shared" si="0"/>
        <v>358889.95100000006</v>
      </c>
      <c r="BT37" s="230">
        <f t="shared" si="1"/>
        <v>32739.246000000006</v>
      </c>
      <c r="BU37" s="230">
        <f t="shared" si="2"/>
        <v>162033.12</v>
      </c>
      <c r="BV37" s="230">
        <f t="shared" si="3"/>
        <v>140894.12599999996</v>
      </c>
      <c r="BW37" s="230">
        <f t="shared" si="4"/>
        <v>335666.49199999997</v>
      </c>
      <c r="BX37" s="230">
        <f t="shared" si="5"/>
        <v>23223.459</v>
      </c>
      <c r="BY37" s="84"/>
      <c r="BZ37" s="230">
        <f t="shared" si="6"/>
        <v>358889.95099999994</v>
      </c>
    </row>
    <row r="38" spans="1:78" ht="4.5" customHeight="1">
      <c r="A38" s="103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230"/>
      <c r="BT38" s="230"/>
      <c r="BU38" s="230"/>
      <c r="BV38" s="230"/>
      <c r="BW38" s="230"/>
      <c r="BX38" s="230"/>
      <c r="BY38" s="84"/>
      <c r="BZ38" s="230"/>
    </row>
    <row r="39" spans="1:78" ht="12.75">
      <c r="A39" s="232" t="s">
        <v>508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230"/>
      <c r="BT39" s="230"/>
      <c r="BU39" s="230"/>
      <c r="BV39" s="230"/>
      <c r="BW39" s="230"/>
      <c r="BX39" s="230"/>
      <c r="BY39" s="84"/>
      <c r="BZ39" s="230"/>
    </row>
    <row r="40" spans="1:78" ht="12.75">
      <c r="A40" s="104" t="s">
        <v>503</v>
      </c>
      <c r="B40" s="10">
        <v>66897.924</v>
      </c>
      <c r="C40" s="10">
        <v>48327.122</v>
      </c>
      <c r="D40" s="10">
        <v>66250.023</v>
      </c>
      <c r="E40" s="10">
        <v>36438.027</v>
      </c>
      <c r="F40" s="10">
        <v>19621.046</v>
      </c>
      <c r="G40" s="10">
        <v>15127.565</v>
      </c>
      <c r="H40" s="10">
        <v>6296</v>
      </c>
      <c r="I40" s="10">
        <v>22719.994</v>
      </c>
      <c r="J40" s="10">
        <v>32063.774</v>
      </c>
      <c r="K40" s="10">
        <v>29767.864</v>
      </c>
      <c r="L40" s="10">
        <v>15311.35</v>
      </c>
      <c r="M40" s="10">
        <v>21876.032</v>
      </c>
      <c r="N40" s="10">
        <v>9495.274</v>
      </c>
      <c r="O40" s="10">
        <v>18023.955</v>
      </c>
      <c r="P40" s="10">
        <v>9483.618</v>
      </c>
      <c r="Q40" s="10">
        <v>17382.855</v>
      </c>
      <c r="R40" s="10">
        <v>14853.341</v>
      </c>
      <c r="S40" s="10">
        <v>8928</v>
      </c>
      <c r="T40" s="10">
        <v>3294.275</v>
      </c>
      <c r="U40" s="10">
        <v>0</v>
      </c>
      <c r="V40" s="10">
        <v>5519.202</v>
      </c>
      <c r="W40" s="10">
        <v>4876.984</v>
      </c>
      <c r="X40" s="10">
        <v>14476.794</v>
      </c>
      <c r="Y40" s="10">
        <v>12016.418</v>
      </c>
      <c r="Z40" s="10">
        <v>3932.443</v>
      </c>
      <c r="AA40" s="10">
        <v>978.801</v>
      </c>
      <c r="AB40" s="10">
        <v>5640.858</v>
      </c>
      <c r="AC40" s="10">
        <v>1399.37</v>
      </c>
      <c r="AD40" s="10">
        <v>2266.707</v>
      </c>
      <c r="AE40" s="10">
        <v>3531.15</v>
      </c>
      <c r="AF40" s="10">
        <v>879.875</v>
      </c>
      <c r="AG40" s="10">
        <v>8791.545</v>
      </c>
      <c r="AH40" s="10">
        <v>999.23</v>
      </c>
      <c r="AI40" s="10">
        <v>4075.822</v>
      </c>
      <c r="AJ40" s="10">
        <v>0</v>
      </c>
      <c r="AK40" s="10">
        <v>1265.47</v>
      </c>
      <c r="AL40" s="10">
        <v>1778.103</v>
      </c>
      <c r="AM40" s="10">
        <v>615.292</v>
      </c>
      <c r="AN40" s="10">
        <v>1559.888</v>
      </c>
      <c r="AO40" s="10">
        <v>3032.867</v>
      </c>
      <c r="AP40" s="10">
        <v>2717.48</v>
      </c>
      <c r="AQ40" s="10">
        <v>2836.449</v>
      </c>
      <c r="AR40" s="10">
        <v>2159.747</v>
      </c>
      <c r="AS40" s="10">
        <v>0</v>
      </c>
      <c r="AT40" s="10">
        <v>3338.682</v>
      </c>
      <c r="AU40" s="10">
        <v>8922</v>
      </c>
      <c r="AV40" s="10">
        <v>212.56</v>
      </c>
      <c r="AW40" s="10">
        <v>860.406</v>
      </c>
      <c r="AX40" s="10">
        <v>876.044</v>
      </c>
      <c r="AY40" s="10">
        <v>0</v>
      </c>
      <c r="AZ40" s="10">
        <v>377.073</v>
      </c>
      <c r="BA40" s="10">
        <v>0</v>
      </c>
      <c r="BB40" s="10">
        <v>1511.27</v>
      </c>
      <c r="BC40" s="10">
        <v>1196.077</v>
      </c>
      <c r="BD40" s="10">
        <v>1477.678</v>
      </c>
      <c r="BE40" s="10">
        <v>669</v>
      </c>
      <c r="BF40" s="10">
        <v>0</v>
      </c>
      <c r="BG40" s="10">
        <v>0</v>
      </c>
      <c r="BH40" s="10">
        <v>278.406</v>
      </c>
      <c r="BI40" s="10">
        <v>188.572</v>
      </c>
      <c r="BJ40" s="10">
        <v>1528.032</v>
      </c>
      <c r="BK40" s="10">
        <v>0</v>
      </c>
      <c r="BL40" s="10">
        <v>0</v>
      </c>
      <c r="BM40" s="10">
        <v>0</v>
      </c>
      <c r="BN40" s="10">
        <v>598.779</v>
      </c>
      <c r="BO40" s="10">
        <v>495.895</v>
      </c>
      <c r="BP40" s="10"/>
      <c r="BQ40" s="10"/>
      <c r="BR40" s="10"/>
      <c r="BS40" s="230">
        <f>SUM(B40:BO40)</f>
        <v>570039.008</v>
      </c>
      <c r="BT40" s="230">
        <f t="shared" si="1"/>
        <v>79783.87400000001</v>
      </c>
      <c r="BU40" s="230">
        <f t="shared" si="2"/>
        <v>242100.84700000004</v>
      </c>
      <c r="BV40" s="230">
        <f t="shared" si="3"/>
        <v>210950.977</v>
      </c>
      <c r="BW40" s="230">
        <f t="shared" si="4"/>
        <v>532835.6980000001</v>
      </c>
      <c r="BX40" s="230">
        <f>SUM(W40+Y40+Z40+AG40+AO40+AQ40+AS40+BA40+BG40+BI40+BJ40)</f>
        <v>37203.31</v>
      </c>
      <c r="BY40" s="84"/>
      <c r="BZ40" s="230">
        <f t="shared" si="6"/>
        <v>570039.0080000001</v>
      </c>
    </row>
    <row r="41" spans="1:78" ht="12.75">
      <c r="A41" s="104" t="s">
        <v>483</v>
      </c>
      <c r="B41" s="10">
        <v>0</v>
      </c>
      <c r="C41" s="10">
        <v>0</v>
      </c>
      <c r="D41" s="10">
        <v>0</v>
      </c>
      <c r="E41" s="10">
        <v>0</v>
      </c>
      <c r="F41" s="10">
        <v>16933.587</v>
      </c>
      <c r="G41" s="10">
        <v>0</v>
      </c>
      <c r="H41" s="10">
        <v>16849</v>
      </c>
      <c r="I41" s="10">
        <v>0</v>
      </c>
      <c r="J41" s="10">
        <v>0</v>
      </c>
      <c r="K41" s="10">
        <v>0</v>
      </c>
      <c r="L41" s="10">
        <v>4050.443</v>
      </c>
      <c r="M41" s="10">
        <v>0</v>
      </c>
      <c r="N41" s="10">
        <v>0</v>
      </c>
      <c r="O41" s="10">
        <v>0</v>
      </c>
      <c r="P41" s="10">
        <v>1324.833</v>
      </c>
      <c r="Q41" s="10">
        <v>0</v>
      </c>
      <c r="R41" s="10">
        <v>0</v>
      </c>
      <c r="S41" s="10">
        <v>0</v>
      </c>
      <c r="T41" s="10">
        <v>0</v>
      </c>
      <c r="U41" s="10">
        <v>376.078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3621.46</v>
      </c>
      <c r="AB41" s="10">
        <v>0</v>
      </c>
      <c r="AC41" s="10">
        <v>0</v>
      </c>
      <c r="AD41" s="10">
        <v>0</v>
      </c>
      <c r="AE41" s="10">
        <v>0</v>
      </c>
      <c r="AF41" s="10">
        <v>306.683</v>
      </c>
      <c r="AG41" s="10">
        <v>0</v>
      </c>
      <c r="AH41" s="10">
        <v>1145.159</v>
      </c>
      <c r="AI41" s="10">
        <v>0</v>
      </c>
      <c r="AJ41" s="10">
        <v>6811.302</v>
      </c>
      <c r="AK41" s="10">
        <v>0</v>
      </c>
      <c r="AL41" s="10">
        <v>0</v>
      </c>
      <c r="AM41" s="10">
        <v>1160.089</v>
      </c>
      <c r="AN41" s="10">
        <v>507.349</v>
      </c>
      <c r="AO41" s="10">
        <v>0</v>
      </c>
      <c r="AP41" s="10">
        <v>0</v>
      </c>
      <c r="AQ41" s="10">
        <v>0</v>
      </c>
      <c r="AR41" s="10">
        <v>0</v>
      </c>
      <c r="AS41" s="10">
        <v>649.766</v>
      </c>
      <c r="AT41" s="10">
        <v>0</v>
      </c>
      <c r="AU41" s="10">
        <v>0</v>
      </c>
      <c r="AV41" s="10">
        <v>1031.759</v>
      </c>
      <c r="AW41" s="10">
        <v>0</v>
      </c>
      <c r="AX41" s="10">
        <v>0</v>
      </c>
      <c r="AY41" s="10">
        <v>3635.042</v>
      </c>
      <c r="AZ41" s="10">
        <v>27.953</v>
      </c>
      <c r="BA41" s="10">
        <v>314.949</v>
      </c>
      <c r="BB41" s="10">
        <v>0</v>
      </c>
      <c r="BC41" s="10">
        <v>0</v>
      </c>
      <c r="BD41" s="10">
        <v>0</v>
      </c>
      <c r="BE41" s="10">
        <v>1400.958</v>
      </c>
      <c r="BF41" s="10">
        <v>1433.437</v>
      </c>
      <c r="BG41" s="10">
        <v>649.73</v>
      </c>
      <c r="BH41" s="10">
        <v>0</v>
      </c>
      <c r="BI41" s="10">
        <v>0</v>
      </c>
      <c r="BJ41" s="10">
        <v>0</v>
      </c>
      <c r="BK41" s="10">
        <v>492.607</v>
      </c>
      <c r="BL41" s="10">
        <v>0</v>
      </c>
      <c r="BM41" s="10">
        <v>35.601</v>
      </c>
      <c r="BN41" s="10">
        <v>0</v>
      </c>
      <c r="BO41" s="10">
        <v>0</v>
      </c>
      <c r="BP41" s="10"/>
      <c r="BQ41" s="10"/>
      <c r="BR41" s="10"/>
      <c r="BS41" s="230">
        <f>SUM(B41:BO41)</f>
        <v>62757.78500000001</v>
      </c>
      <c r="BT41" s="230">
        <f t="shared" si="1"/>
        <v>8029.968000000001</v>
      </c>
      <c r="BU41" s="230">
        <f t="shared" si="2"/>
        <v>40593.888999999996</v>
      </c>
      <c r="BV41" s="230">
        <f t="shared" si="3"/>
        <v>12519.483</v>
      </c>
      <c r="BW41" s="230">
        <f t="shared" si="4"/>
        <v>61143.34</v>
      </c>
      <c r="BX41" s="230">
        <f t="shared" si="5"/>
        <v>1614.445</v>
      </c>
      <c r="BY41" s="84"/>
      <c r="BZ41" s="230">
        <f t="shared" si="6"/>
        <v>62757.784999999996</v>
      </c>
    </row>
    <row r="42" spans="1:78" ht="3" customHeight="1">
      <c r="A42" s="103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230"/>
      <c r="BT42" s="230">
        <f t="shared" si="1"/>
        <v>0</v>
      </c>
      <c r="BU42" s="230"/>
      <c r="BV42" s="230">
        <f t="shared" si="3"/>
        <v>0</v>
      </c>
      <c r="BW42" s="230"/>
      <c r="BX42" s="230"/>
      <c r="BY42" s="84"/>
      <c r="BZ42" s="230"/>
    </row>
    <row r="43" spans="1:78" ht="11.25" customHeight="1">
      <c r="A43" s="231" t="s">
        <v>500</v>
      </c>
      <c r="B43" s="226">
        <f aca="true" t="shared" si="18" ref="B43:BM43">SUM(B40:B41)</f>
        <v>66897.924</v>
      </c>
      <c r="C43" s="226">
        <f t="shared" si="18"/>
        <v>48327.122</v>
      </c>
      <c r="D43" s="226">
        <f t="shared" si="18"/>
        <v>66250.023</v>
      </c>
      <c r="E43" s="226">
        <f t="shared" si="18"/>
        <v>36438.027</v>
      </c>
      <c r="F43" s="226">
        <f t="shared" si="18"/>
        <v>36554.633</v>
      </c>
      <c r="G43" s="226">
        <f t="shared" si="18"/>
        <v>15127.565</v>
      </c>
      <c r="H43" s="226">
        <f t="shared" si="18"/>
        <v>23145</v>
      </c>
      <c r="I43" s="226">
        <f t="shared" si="18"/>
        <v>22719.994</v>
      </c>
      <c r="J43" s="226">
        <f t="shared" si="18"/>
        <v>32063.774</v>
      </c>
      <c r="K43" s="226">
        <f t="shared" si="18"/>
        <v>29767.864</v>
      </c>
      <c r="L43" s="226">
        <f t="shared" si="18"/>
        <v>19361.793</v>
      </c>
      <c r="M43" s="226">
        <f t="shared" si="18"/>
        <v>21876.032</v>
      </c>
      <c r="N43" s="226">
        <f t="shared" si="18"/>
        <v>9495.274</v>
      </c>
      <c r="O43" s="226">
        <f t="shared" si="18"/>
        <v>18023.955</v>
      </c>
      <c r="P43" s="226">
        <f t="shared" si="18"/>
        <v>10808.451000000001</v>
      </c>
      <c r="Q43" s="226">
        <f t="shared" si="18"/>
        <v>17382.855</v>
      </c>
      <c r="R43" s="226">
        <f t="shared" si="18"/>
        <v>14853.341</v>
      </c>
      <c r="S43" s="226">
        <f t="shared" si="18"/>
        <v>8928</v>
      </c>
      <c r="T43" s="226">
        <f t="shared" si="18"/>
        <v>3294.275</v>
      </c>
      <c r="U43" s="226">
        <f t="shared" si="18"/>
        <v>376.078</v>
      </c>
      <c r="V43" s="226">
        <f t="shared" si="18"/>
        <v>5519.202</v>
      </c>
      <c r="W43" s="226">
        <f t="shared" si="18"/>
        <v>4876.984</v>
      </c>
      <c r="X43" s="226">
        <f t="shared" si="18"/>
        <v>14476.794</v>
      </c>
      <c r="Y43" s="226">
        <f t="shared" si="18"/>
        <v>12016.418</v>
      </c>
      <c r="Z43" s="226">
        <f t="shared" si="18"/>
        <v>3932.443</v>
      </c>
      <c r="AA43" s="226">
        <f t="shared" si="18"/>
        <v>4600.261</v>
      </c>
      <c r="AB43" s="226">
        <f t="shared" si="18"/>
        <v>5640.858</v>
      </c>
      <c r="AC43" s="226">
        <f t="shared" si="18"/>
        <v>1399.37</v>
      </c>
      <c r="AD43" s="226">
        <f t="shared" si="18"/>
        <v>2266.707</v>
      </c>
      <c r="AE43" s="226">
        <f t="shared" si="18"/>
        <v>3531.15</v>
      </c>
      <c r="AF43" s="226">
        <f t="shared" si="18"/>
        <v>1186.558</v>
      </c>
      <c r="AG43" s="226">
        <f>SUM(AG40:AG41)</f>
        <v>8791.545</v>
      </c>
      <c r="AH43" s="226">
        <f t="shared" si="18"/>
        <v>2144.389</v>
      </c>
      <c r="AI43" s="226">
        <f t="shared" si="18"/>
        <v>4075.822</v>
      </c>
      <c r="AJ43" s="226">
        <f t="shared" si="18"/>
        <v>6811.302</v>
      </c>
      <c r="AK43" s="226">
        <f t="shared" si="18"/>
        <v>1265.47</v>
      </c>
      <c r="AL43" s="226">
        <f t="shared" si="18"/>
        <v>1778.103</v>
      </c>
      <c r="AM43" s="226">
        <f t="shared" si="18"/>
        <v>1775.3809999999999</v>
      </c>
      <c r="AN43" s="226">
        <f t="shared" si="18"/>
        <v>2067.237</v>
      </c>
      <c r="AO43" s="226">
        <f t="shared" si="18"/>
        <v>3032.867</v>
      </c>
      <c r="AP43" s="226">
        <f t="shared" si="18"/>
        <v>2717.48</v>
      </c>
      <c r="AQ43" s="226">
        <f t="shared" si="18"/>
        <v>2836.449</v>
      </c>
      <c r="AR43" s="226">
        <f t="shared" si="18"/>
        <v>2159.747</v>
      </c>
      <c r="AS43" s="226">
        <f t="shared" si="18"/>
        <v>649.766</v>
      </c>
      <c r="AT43" s="226">
        <f t="shared" si="18"/>
        <v>3338.682</v>
      </c>
      <c r="AU43" s="226">
        <f t="shared" si="18"/>
        <v>8922</v>
      </c>
      <c r="AV43" s="226">
        <f t="shared" si="18"/>
        <v>1244.319</v>
      </c>
      <c r="AW43" s="226">
        <f t="shared" si="18"/>
        <v>860.406</v>
      </c>
      <c r="AX43" s="226">
        <f t="shared" si="18"/>
        <v>876.044</v>
      </c>
      <c r="AY43" s="226">
        <f t="shared" si="18"/>
        <v>3635.042</v>
      </c>
      <c r="AZ43" s="226">
        <f t="shared" si="18"/>
        <v>405.02599999999995</v>
      </c>
      <c r="BA43" s="226">
        <f t="shared" si="18"/>
        <v>314.949</v>
      </c>
      <c r="BB43" s="226">
        <f t="shared" si="18"/>
        <v>1511.27</v>
      </c>
      <c r="BC43" s="226">
        <f t="shared" si="18"/>
        <v>1196.077</v>
      </c>
      <c r="BD43" s="226">
        <f t="shared" si="18"/>
        <v>1477.678</v>
      </c>
      <c r="BE43" s="226">
        <f t="shared" si="18"/>
        <v>2069.958</v>
      </c>
      <c r="BF43" s="226">
        <f t="shared" si="18"/>
        <v>1433.437</v>
      </c>
      <c r="BG43" s="226">
        <f t="shared" si="18"/>
        <v>649.73</v>
      </c>
      <c r="BH43" s="226">
        <f t="shared" si="18"/>
        <v>278.406</v>
      </c>
      <c r="BI43" s="226">
        <f t="shared" si="18"/>
        <v>188.572</v>
      </c>
      <c r="BJ43" s="226">
        <f t="shared" si="18"/>
        <v>1528.032</v>
      </c>
      <c r="BK43" s="226">
        <f t="shared" si="18"/>
        <v>492.607</v>
      </c>
      <c r="BL43" s="226">
        <f t="shared" si="18"/>
        <v>0</v>
      </c>
      <c r="BM43" s="226">
        <f t="shared" si="18"/>
        <v>35.601</v>
      </c>
      <c r="BN43" s="226">
        <f>SUM(BN40:BN41)</f>
        <v>598.779</v>
      </c>
      <c r="BO43" s="226">
        <f>SUM(BO40:BO41)</f>
        <v>495.895</v>
      </c>
      <c r="BP43" s="226"/>
      <c r="BQ43" s="226"/>
      <c r="BR43" s="226"/>
      <c r="BS43" s="230">
        <f>SUM(BS40:BS42)</f>
        <v>632796.7930000001</v>
      </c>
      <c r="BT43" s="230">
        <f t="shared" si="1"/>
        <v>87813.842</v>
      </c>
      <c r="BU43" s="230">
        <f>SUM(BU40:BU42)</f>
        <v>282694.73600000003</v>
      </c>
      <c r="BV43" s="230">
        <f t="shared" si="3"/>
        <v>223470.45999999996</v>
      </c>
      <c r="BW43" s="230">
        <f>SUM(BW40:BW42)</f>
        <v>593979.0380000001</v>
      </c>
      <c r="BX43" s="230">
        <f>SUM(BX40:BX42)</f>
        <v>38817.755</v>
      </c>
      <c r="BY43" s="230"/>
      <c r="BZ43" s="230">
        <f>SUM(BZ40:BZ42)</f>
        <v>632796.7930000002</v>
      </c>
    </row>
    <row r="44" spans="1:78" ht="4.5" customHeight="1">
      <c r="A44" s="103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230"/>
      <c r="BT44" s="230"/>
      <c r="BU44" s="230"/>
      <c r="BV44" s="230"/>
      <c r="BW44" s="230"/>
      <c r="BX44" s="230"/>
      <c r="BY44" s="84"/>
      <c r="BZ44" s="230"/>
    </row>
    <row r="45" spans="1:78" ht="13.5" customHeight="1">
      <c r="A45" s="105" t="s">
        <v>509</v>
      </c>
      <c r="B45" s="12">
        <v>48626.598</v>
      </c>
      <c r="C45" s="12">
        <v>0</v>
      </c>
      <c r="D45" s="12">
        <v>31364.026</v>
      </c>
      <c r="E45" s="12">
        <v>14574.054</v>
      </c>
      <c r="F45" s="12">
        <v>23919.743</v>
      </c>
      <c r="G45" s="12">
        <v>0</v>
      </c>
      <c r="H45" s="12">
        <v>13451.527</v>
      </c>
      <c r="I45" s="12">
        <v>0</v>
      </c>
      <c r="J45" s="12">
        <v>10043.044</v>
      </c>
      <c r="K45" s="12">
        <v>7275.754</v>
      </c>
      <c r="L45" s="12">
        <v>1687.263</v>
      </c>
      <c r="M45" s="12">
        <v>12575.026</v>
      </c>
      <c r="N45" s="12">
        <v>192.69</v>
      </c>
      <c r="O45" s="12">
        <v>11953.465</v>
      </c>
      <c r="P45" s="12">
        <v>0</v>
      </c>
      <c r="Q45" s="12">
        <v>1901.129</v>
      </c>
      <c r="R45" s="12">
        <v>6691.014</v>
      </c>
      <c r="S45" s="12">
        <v>4538</v>
      </c>
      <c r="T45" s="12">
        <v>4521.035</v>
      </c>
      <c r="U45" s="12">
        <v>3234.839</v>
      </c>
      <c r="V45" s="12">
        <v>0</v>
      </c>
      <c r="W45" s="12">
        <v>0</v>
      </c>
      <c r="X45" s="12">
        <v>2014.13</v>
      </c>
      <c r="Y45" s="12">
        <v>0</v>
      </c>
      <c r="Z45" s="12">
        <v>0</v>
      </c>
      <c r="AA45" s="12">
        <v>0</v>
      </c>
      <c r="AB45" s="12">
        <v>1843.117</v>
      </c>
      <c r="AC45" s="12">
        <v>0</v>
      </c>
      <c r="AD45" s="12">
        <v>0</v>
      </c>
      <c r="AE45" s="12">
        <v>2259.285</v>
      </c>
      <c r="AF45" s="12">
        <v>0</v>
      </c>
      <c r="AG45" s="12">
        <v>0</v>
      </c>
      <c r="AH45" s="12">
        <v>0</v>
      </c>
      <c r="AI45" s="12">
        <v>0</v>
      </c>
      <c r="AJ45" s="12">
        <v>1085.143</v>
      </c>
      <c r="AK45" s="12">
        <v>0</v>
      </c>
      <c r="AL45" s="12">
        <v>899.668</v>
      </c>
      <c r="AM45" s="12">
        <v>0</v>
      </c>
      <c r="AN45" s="12">
        <v>2847.412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1259.625</v>
      </c>
      <c r="AU45" s="12">
        <v>0</v>
      </c>
      <c r="AV45" s="12">
        <v>0</v>
      </c>
      <c r="AW45" s="12">
        <v>182.15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85.479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/>
      <c r="BQ45" s="12"/>
      <c r="BR45" s="12"/>
      <c r="BS45" s="230">
        <f t="shared" si="0"/>
        <v>209025.21600000001</v>
      </c>
      <c r="BT45" s="230">
        <f t="shared" si="1"/>
        <v>6264.401</v>
      </c>
      <c r="BU45" s="230">
        <f t="shared" si="2"/>
        <v>121380.612</v>
      </c>
      <c r="BV45" s="230">
        <f t="shared" si="3"/>
        <v>81380.20300000002</v>
      </c>
      <c r="BW45" s="230">
        <f t="shared" si="4"/>
        <v>209025.21600000001</v>
      </c>
      <c r="BX45" s="230">
        <f t="shared" si="5"/>
        <v>0</v>
      </c>
      <c r="BY45" s="84"/>
      <c r="BZ45" s="230">
        <f t="shared" si="6"/>
        <v>209025.21600000001</v>
      </c>
    </row>
    <row r="46" spans="1:78" ht="5.25" customHeight="1">
      <c r="A46" s="103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230"/>
      <c r="BT46" s="230"/>
      <c r="BU46" s="230"/>
      <c r="BV46" s="230"/>
      <c r="BW46" s="230"/>
      <c r="BX46" s="230"/>
      <c r="BY46" s="84"/>
      <c r="BZ46" s="230"/>
    </row>
    <row r="47" spans="1:78" ht="13.5" customHeight="1">
      <c r="A47" s="105" t="s">
        <v>510</v>
      </c>
      <c r="B47" s="12">
        <v>0</v>
      </c>
      <c r="C47" s="12">
        <v>12000</v>
      </c>
      <c r="D47" s="12">
        <v>0</v>
      </c>
      <c r="E47" s="12">
        <v>8132.528</v>
      </c>
      <c r="F47" s="12">
        <v>17527.499</v>
      </c>
      <c r="G47" s="12">
        <v>0</v>
      </c>
      <c r="H47" s="12">
        <v>-1108</v>
      </c>
      <c r="I47" s="12">
        <v>0</v>
      </c>
      <c r="J47" s="12">
        <v>6084.506</v>
      </c>
      <c r="K47" s="12">
        <v>0</v>
      </c>
      <c r="L47" s="12">
        <v>1144.943</v>
      </c>
      <c r="M47" s="12">
        <v>16675.371</v>
      </c>
      <c r="N47" s="12">
        <v>-1418.282</v>
      </c>
      <c r="O47" s="12">
        <v>1336.778</v>
      </c>
      <c r="P47" s="12">
        <v>3762.117</v>
      </c>
      <c r="Q47" s="12">
        <v>0</v>
      </c>
      <c r="R47" s="12">
        <v>0</v>
      </c>
      <c r="S47" s="12">
        <v>3960</v>
      </c>
      <c r="T47" s="12">
        <v>170.602</v>
      </c>
      <c r="U47" s="12">
        <v>0</v>
      </c>
      <c r="V47" s="12">
        <v>0</v>
      </c>
      <c r="W47" s="12">
        <v>-1384.02</v>
      </c>
      <c r="X47" s="12">
        <v>0</v>
      </c>
      <c r="Y47" s="12">
        <v>0</v>
      </c>
      <c r="Z47" s="12">
        <v>0</v>
      </c>
      <c r="AA47" s="12">
        <v>6464.439</v>
      </c>
      <c r="AB47" s="12">
        <v>4340.971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f>-935.583+247.418</f>
        <v>-688.165</v>
      </c>
      <c r="AJ47" s="12">
        <v>106.198</v>
      </c>
      <c r="AK47" s="12">
        <v>0</v>
      </c>
      <c r="AL47" s="12">
        <v>192.565</v>
      </c>
      <c r="AM47" s="12">
        <v>991.51</v>
      </c>
      <c r="AN47" s="12">
        <v>2000</v>
      </c>
      <c r="AO47" s="12">
        <v>0</v>
      </c>
      <c r="AP47" s="12">
        <v>0</v>
      </c>
      <c r="AQ47" s="12">
        <v>0</v>
      </c>
      <c r="AR47" s="12">
        <v>1535.184</v>
      </c>
      <c r="AS47" s="12">
        <v>248.342</v>
      </c>
      <c r="AT47" s="12">
        <v>0</v>
      </c>
      <c r="AU47" s="12">
        <v>0</v>
      </c>
      <c r="AV47" s="12">
        <v>1403.043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-630</v>
      </c>
      <c r="BF47" s="12">
        <v>1142.085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/>
      <c r="BQ47" s="12"/>
      <c r="BR47" s="12"/>
      <c r="BS47" s="230">
        <f t="shared" si="0"/>
        <v>83990.214</v>
      </c>
      <c r="BT47" s="230">
        <f t="shared" si="1"/>
        <v>25131.74</v>
      </c>
      <c r="BU47" s="230">
        <f t="shared" si="2"/>
        <v>43894.187</v>
      </c>
      <c r="BV47" s="230">
        <f t="shared" si="3"/>
        <v>16099.965</v>
      </c>
      <c r="BW47" s="230">
        <f t="shared" si="4"/>
        <v>85125.89199999999</v>
      </c>
      <c r="BX47" s="230">
        <f t="shared" si="5"/>
        <v>-1135.6779999999999</v>
      </c>
      <c r="BY47" s="84"/>
      <c r="BZ47" s="230">
        <f t="shared" si="6"/>
        <v>83990.21399999999</v>
      </c>
    </row>
    <row r="48" spans="1:78" ht="6" customHeight="1">
      <c r="A48" s="103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230"/>
      <c r="BT48" s="230"/>
      <c r="BU48" s="230"/>
      <c r="BV48" s="230"/>
      <c r="BW48" s="230"/>
      <c r="BX48" s="230"/>
      <c r="BY48" s="84"/>
      <c r="BZ48" s="230"/>
    </row>
    <row r="49" spans="1:78" ht="12.75" customHeight="1">
      <c r="A49" s="105" t="s">
        <v>511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230"/>
      <c r="BT49" s="230"/>
      <c r="BU49" s="230"/>
      <c r="BV49" s="230"/>
      <c r="BW49" s="230"/>
      <c r="BX49" s="230"/>
      <c r="BY49" s="84"/>
      <c r="BZ49" s="230"/>
    </row>
    <row r="50" spans="1:78" ht="12.75" customHeight="1">
      <c r="A50" s="105" t="s">
        <v>512</v>
      </c>
      <c r="B50" s="226">
        <f aca="true" t="shared" si="19" ref="B50:AG50">B12-B19+B29-B37-B43+B45-B47</f>
        <v>6959788.729</v>
      </c>
      <c r="C50" s="226">
        <f t="shared" si="19"/>
        <v>1552988.8760000004</v>
      </c>
      <c r="D50" s="226">
        <f t="shared" si="19"/>
        <v>2984042.9390000007</v>
      </c>
      <c r="E50" s="226">
        <f t="shared" si="19"/>
        <v>2644207.3680000002</v>
      </c>
      <c r="F50" s="226">
        <f t="shared" si="19"/>
        <v>2730760.5130000003</v>
      </c>
      <c r="G50" s="226">
        <f t="shared" si="19"/>
        <v>1402793.392</v>
      </c>
      <c r="H50" s="226">
        <f t="shared" si="19"/>
        <v>1327604.2620000003</v>
      </c>
      <c r="I50" s="226">
        <f t="shared" si="19"/>
        <v>1249780.767</v>
      </c>
      <c r="J50" s="226">
        <f t="shared" si="19"/>
        <v>1660431.783</v>
      </c>
      <c r="K50" s="226">
        <f t="shared" si="19"/>
        <v>1404591.7519999999</v>
      </c>
      <c r="L50" s="226">
        <f t="shared" si="19"/>
        <v>732664.9010000002</v>
      </c>
      <c r="M50" s="226">
        <f t="shared" si="19"/>
        <v>717753.178</v>
      </c>
      <c r="N50" s="226">
        <f t="shared" si="19"/>
        <v>950948.1569999999</v>
      </c>
      <c r="O50" s="226">
        <f t="shared" si="19"/>
        <v>682751.945</v>
      </c>
      <c r="P50" s="226">
        <f t="shared" si="19"/>
        <v>512520.8669999999</v>
      </c>
      <c r="Q50" s="226">
        <f t="shared" si="19"/>
        <v>636035.23</v>
      </c>
      <c r="R50" s="226">
        <f t="shared" si="19"/>
        <v>793387.5419999999</v>
      </c>
      <c r="S50" s="226">
        <f t="shared" si="19"/>
        <v>405731</v>
      </c>
      <c r="T50" s="226">
        <f t="shared" si="19"/>
        <v>357908.66899999994</v>
      </c>
      <c r="U50" s="226">
        <f t="shared" si="19"/>
        <v>2664326.788</v>
      </c>
      <c r="V50" s="226">
        <f t="shared" si="19"/>
        <v>326791.49600000004</v>
      </c>
      <c r="W50" s="226">
        <f t="shared" si="19"/>
        <v>648401.242</v>
      </c>
      <c r="X50" s="226">
        <f t="shared" si="19"/>
        <v>320409.726</v>
      </c>
      <c r="Y50" s="226">
        <f t="shared" si="19"/>
        <v>769298.399</v>
      </c>
      <c r="Z50" s="226">
        <f t="shared" si="19"/>
        <v>413622.99499999994</v>
      </c>
      <c r="AA50" s="226">
        <f t="shared" si="19"/>
        <v>200763.08599999992</v>
      </c>
      <c r="AB50" s="226">
        <f t="shared" si="19"/>
        <v>247397.89299999998</v>
      </c>
      <c r="AC50" s="226">
        <f t="shared" si="19"/>
        <v>166067.653</v>
      </c>
      <c r="AD50" s="226">
        <f t="shared" si="19"/>
        <v>74941.39200000002</v>
      </c>
      <c r="AE50" s="226">
        <f t="shared" si="19"/>
        <v>287411.3909999999</v>
      </c>
      <c r="AF50" s="226">
        <f t="shared" si="19"/>
        <v>144887.18100000004</v>
      </c>
      <c r="AG50" s="226">
        <f t="shared" si="19"/>
        <v>748033.1429999999</v>
      </c>
      <c r="AH50" s="226">
        <f aca="true" t="shared" si="20" ref="AH50:BO50">AH12-AH19+AH29-AH37-AH43+AH45-AH47</f>
        <v>103452.58799999997</v>
      </c>
      <c r="AI50" s="226">
        <f t="shared" si="20"/>
        <v>138032.368</v>
      </c>
      <c r="AJ50" s="226">
        <f t="shared" si="20"/>
        <v>117534.29</v>
      </c>
      <c r="AK50" s="226">
        <f t="shared" si="20"/>
        <v>119274.359</v>
      </c>
      <c r="AL50" s="226">
        <f t="shared" si="20"/>
        <v>108568.14299999998</v>
      </c>
      <c r="AM50" s="226">
        <f t="shared" si="20"/>
        <v>100717.047</v>
      </c>
      <c r="AN50" s="226">
        <f t="shared" si="20"/>
        <v>99652.924</v>
      </c>
      <c r="AO50" s="226">
        <f t="shared" si="20"/>
        <v>485500.825</v>
      </c>
      <c r="AP50" s="226">
        <f t="shared" si="20"/>
        <v>74465.13400000002</v>
      </c>
      <c r="AQ50" s="226">
        <f t="shared" si="20"/>
        <v>62265.31900000001</v>
      </c>
      <c r="AR50" s="226">
        <f t="shared" si="20"/>
        <v>47260.19599999998</v>
      </c>
      <c r="AS50" s="226">
        <f t="shared" si="20"/>
        <v>70838.88</v>
      </c>
      <c r="AT50" s="226">
        <f t="shared" si="20"/>
        <v>60618.40900000001</v>
      </c>
      <c r="AU50" s="226">
        <f>AU12-AU19+AU29-AU37-AU43+AU45-AU47</f>
        <v>610988.1799999999</v>
      </c>
      <c r="AV50" s="226">
        <f t="shared" si="20"/>
        <v>2223.849000000004</v>
      </c>
      <c r="AW50" s="226">
        <f t="shared" si="20"/>
        <v>33814.111000000004</v>
      </c>
      <c r="AX50" s="226">
        <f t="shared" si="20"/>
        <v>1987.632</v>
      </c>
      <c r="AY50" s="226">
        <f t="shared" si="20"/>
        <v>-3964.947000000006</v>
      </c>
      <c r="AZ50" s="226">
        <f t="shared" si="20"/>
        <v>-4729.868999999997</v>
      </c>
      <c r="BA50" s="226">
        <f t="shared" si="20"/>
        <v>21419.704000000005</v>
      </c>
      <c r="BB50" s="226">
        <f t="shared" si="20"/>
        <v>23027.535</v>
      </c>
      <c r="BC50" s="226">
        <f t="shared" si="20"/>
        <v>29606.159999999996</v>
      </c>
      <c r="BD50" s="226">
        <f t="shared" si="20"/>
        <v>13928.917000000001</v>
      </c>
      <c r="BE50" s="226">
        <f t="shared" si="20"/>
        <v>5598.982999999995</v>
      </c>
      <c r="BF50" s="226">
        <f>BF12-BF19+BF29-BF37-BF43+BF45-BF47</f>
        <v>-6206.747999999998</v>
      </c>
      <c r="BG50" s="226">
        <f t="shared" si="20"/>
        <v>151123</v>
      </c>
      <c r="BH50" s="226">
        <f t="shared" si="20"/>
        <v>3810.7220000000007</v>
      </c>
      <c r="BI50" s="226">
        <f t="shared" si="20"/>
        <v>5408.615000000001</v>
      </c>
      <c r="BJ50" s="226">
        <f t="shared" si="20"/>
        <v>-361.37299999999937</v>
      </c>
      <c r="BK50" s="226">
        <f t="shared" si="20"/>
        <v>-1364.5089999999964</v>
      </c>
      <c r="BL50" s="226">
        <f t="shared" si="20"/>
        <v>866</v>
      </c>
      <c r="BM50" s="226">
        <f t="shared" si="20"/>
        <v>-412.1999999999998</v>
      </c>
      <c r="BN50" s="226">
        <f t="shared" si="20"/>
        <v>0.3549999999997908</v>
      </c>
      <c r="BO50" s="226">
        <f t="shared" si="20"/>
        <v>2.5011104298755527E-12</v>
      </c>
      <c r="BP50" s="226"/>
      <c r="BQ50" s="226"/>
      <c r="BR50" s="226"/>
      <c r="BS50" s="230">
        <f t="shared" si="0"/>
        <v>39193988.854</v>
      </c>
      <c r="BT50" s="230">
        <f t="shared" si="1"/>
        <v>5778280.0540000005</v>
      </c>
      <c r="BU50" s="230">
        <f t="shared" si="2"/>
        <v>13186297.395000001</v>
      </c>
      <c r="BV50" s="230">
        <f t="shared" si="3"/>
        <v>16853860.656</v>
      </c>
      <c r="BW50" s="230">
        <f t="shared" si="4"/>
        <v>35818438.105000004</v>
      </c>
      <c r="BX50" s="230">
        <f t="shared" si="5"/>
        <v>3375550.749</v>
      </c>
      <c r="BY50" s="84"/>
      <c r="BZ50" s="230">
        <f t="shared" si="6"/>
        <v>39193988.854</v>
      </c>
    </row>
    <row r="51" spans="1:78" ht="8.25" customHeight="1">
      <c r="A51" s="103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230"/>
      <c r="BT51" s="230"/>
      <c r="BU51" s="230"/>
      <c r="BV51" s="230"/>
      <c r="BW51" s="230"/>
      <c r="BX51" s="230"/>
      <c r="BY51" s="84"/>
      <c r="BZ51" s="230"/>
    </row>
    <row r="52" spans="1:78" ht="13.5" customHeight="1">
      <c r="A52" s="105" t="s">
        <v>513</v>
      </c>
      <c r="B52" s="226">
        <f aca="true" t="shared" si="21" ref="B52:AG52">SUM(B53:B54)</f>
        <v>0</v>
      </c>
      <c r="C52" s="226">
        <f t="shared" si="21"/>
        <v>0</v>
      </c>
      <c r="D52" s="226">
        <f t="shared" si="21"/>
        <v>0</v>
      </c>
      <c r="E52" s="226">
        <f t="shared" si="21"/>
        <v>0</v>
      </c>
      <c r="F52" s="226">
        <f t="shared" si="21"/>
        <v>0</v>
      </c>
      <c r="G52" s="226">
        <f t="shared" si="21"/>
        <v>0</v>
      </c>
      <c r="H52" s="226">
        <f t="shared" si="21"/>
        <v>0</v>
      </c>
      <c r="I52" s="226">
        <f t="shared" si="21"/>
        <v>0</v>
      </c>
      <c r="J52" s="226">
        <f t="shared" si="21"/>
        <v>0</v>
      </c>
      <c r="K52" s="226">
        <f t="shared" si="21"/>
        <v>0</v>
      </c>
      <c r="L52" s="226">
        <f t="shared" si="21"/>
        <v>-5515.051</v>
      </c>
      <c r="M52" s="226">
        <f t="shared" si="21"/>
        <v>0</v>
      </c>
      <c r="N52" s="226">
        <f t="shared" si="21"/>
        <v>0</v>
      </c>
      <c r="O52" s="226">
        <f t="shared" si="21"/>
        <v>0</v>
      </c>
      <c r="P52" s="226">
        <f t="shared" si="21"/>
        <v>-2707.368</v>
      </c>
      <c r="Q52" s="226">
        <f t="shared" si="21"/>
        <v>0</v>
      </c>
      <c r="R52" s="226">
        <f t="shared" si="21"/>
        <v>0</v>
      </c>
      <c r="S52" s="226">
        <f t="shared" si="21"/>
        <v>0</v>
      </c>
      <c r="T52" s="226">
        <f t="shared" si="21"/>
        <v>0</v>
      </c>
      <c r="U52" s="226">
        <f t="shared" si="21"/>
        <v>0</v>
      </c>
      <c r="V52" s="226">
        <f t="shared" si="21"/>
        <v>0</v>
      </c>
      <c r="W52" s="226">
        <f t="shared" si="21"/>
        <v>0</v>
      </c>
      <c r="X52" s="226">
        <f t="shared" si="21"/>
        <v>0</v>
      </c>
      <c r="Y52" s="226">
        <f t="shared" si="21"/>
        <v>0</v>
      </c>
      <c r="Z52" s="226">
        <f t="shared" si="21"/>
        <v>0</v>
      </c>
      <c r="AA52" s="226">
        <f t="shared" si="21"/>
        <v>0</v>
      </c>
      <c r="AB52" s="226">
        <f t="shared" si="21"/>
        <v>0</v>
      </c>
      <c r="AC52" s="226">
        <f t="shared" si="21"/>
        <v>0</v>
      </c>
      <c r="AD52" s="226">
        <f t="shared" si="21"/>
        <v>0</v>
      </c>
      <c r="AE52" s="226">
        <f t="shared" si="21"/>
        <v>0</v>
      </c>
      <c r="AF52" s="226">
        <f t="shared" si="21"/>
        <v>0</v>
      </c>
      <c r="AG52" s="226">
        <f t="shared" si="21"/>
        <v>0</v>
      </c>
      <c r="AH52" s="226">
        <f aca="true" t="shared" si="22" ref="AH52:BN52">SUM(AH53:AH54)</f>
        <v>0</v>
      </c>
      <c r="AI52" s="226">
        <f t="shared" si="22"/>
        <v>0</v>
      </c>
      <c r="AJ52" s="226">
        <f t="shared" si="22"/>
        <v>0</v>
      </c>
      <c r="AK52" s="226">
        <f t="shared" si="22"/>
        <v>0</v>
      </c>
      <c r="AL52" s="226">
        <f t="shared" si="22"/>
        <v>0</v>
      </c>
      <c r="AM52" s="226">
        <f t="shared" si="22"/>
        <v>0</v>
      </c>
      <c r="AN52" s="226">
        <f t="shared" si="22"/>
        <v>0</v>
      </c>
      <c r="AO52" s="226">
        <f t="shared" si="22"/>
        <v>0</v>
      </c>
      <c r="AP52" s="226">
        <f t="shared" si="22"/>
        <v>0</v>
      </c>
      <c r="AQ52" s="226">
        <f t="shared" si="22"/>
        <v>0</v>
      </c>
      <c r="AR52" s="226">
        <f t="shared" si="22"/>
        <v>0</v>
      </c>
      <c r="AS52" s="226">
        <f t="shared" si="22"/>
        <v>0</v>
      </c>
      <c r="AT52" s="226">
        <f t="shared" si="22"/>
        <v>0</v>
      </c>
      <c r="AU52" s="226">
        <f>SUM(AU53:AU54)</f>
        <v>0</v>
      </c>
      <c r="AV52" s="226">
        <f t="shared" si="22"/>
        <v>0</v>
      </c>
      <c r="AW52" s="226">
        <f t="shared" si="22"/>
        <v>0</v>
      </c>
      <c r="AX52" s="226">
        <f t="shared" si="22"/>
        <v>0</v>
      </c>
      <c r="AY52" s="226">
        <f t="shared" si="22"/>
        <v>4183.34</v>
      </c>
      <c r="AZ52" s="226">
        <f t="shared" si="22"/>
        <v>0</v>
      </c>
      <c r="BA52" s="226">
        <f t="shared" si="22"/>
        <v>0</v>
      </c>
      <c r="BB52" s="226">
        <f t="shared" si="22"/>
        <v>0</v>
      </c>
      <c r="BC52" s="226">
        <f t="shared" si="22"/>
        <v>-675.318</v>
      </c>
      <c r="BD52" s="226">
        <f t="shared" si="22"/>
        <v>0</v>
      </c>
      <c r="BE52" s="226">
        <f t="shared" si="22"/>
        <v>0</v>
      </c>
      <c r="BF52" s="226">
        <f>SUM(BF53:BF54)</f>
        <v>0</v>
      </c>
      <c r="BG52" s="226">
        <f t="shared" si="22"/>
        <v>0</v>
      </c>
      <c r="BH52" s="226">
        <f t="shared" si="22"/>
        <v>0</v>
      </c>
      <c r="BI52" s="226">
        <f t="shared" si="22"/>
        <v>0</v>
      </c>
      <c r="BJ52" s="226">
        <f t="shared" si="22"/>
        <v>0</v>
      </c>
      <c r="BK52" s="226">
        <f t="shared" si="22"/>
        <v>0</v>
      </c>
      <c r="BL52" s="226">
        <f t="shared" si="22"/>
        <v>0</v>
      </c>
      <c r="BM52" s="226">
        <f t="shared" si="22"/>
        <v>0</v>
      </c>
      <c r="BN52" s="226">
        <f t="shared" si="22"/>
        <v>0</v>
      </c>
      <c r="BO52" s="226">
        <f>SUM(BO53:BO54)</f>
        <v>0</v>
      </c>
      <c r="BP52" s="226"/>
      <c r="BQ52" s="226"/>
      <c r="BR52" s="226"/>
      <c r="BS52" s="230">
        <f t="shared" si="0"/>
        <v>-4714.397</v>
      </c>
      <c r="BT52" s="230">
        <f t="shared" si="1"/>
        <v>-2707.368</v>
      </c>
      <c r="BU52" s="230">
        <f t="shared" si="2"/>
        <v>0</v>
      </c>
      <c r="BV52" s="230">
        <f t="shared" si="3"/>
        <v>-2007.0290000000002</v>
      </c>
      <c r="BW52" s="230">
        <f t="shared" si="4"/>
        <v>-4714.397</v>
      </c>
      <c r="BX52" s="230">
        <f t="shared" si="5"/>
        <v>0</v>
      </c>
      <c r="BY52" s="84"/>
      <c r="BZ52" s="230">
        <f t="shared" si="6"/>
        <v>-4714.397</v>
      </c>
    </row>
    <row r="53" spans="1:78" ht="12.75" customHeight="1" outlineLevel="1">
      <c r="A53" s="104" t="s">
        <v>481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4183.34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/>
      <c r="BQ53" s="12"/>
      <c r="BR53" s="12"/>
      <c r="BS53" s="230">
        <f t="shared" si="0"/>
        <v>4183.34</v>
      </c>
      <c r="BT53" s="230">
        <f t="shared" si="1"/>
        <v>0</v>
      </c>
      <c r="BU53" s="230">
        <f t="shared" si="2"/>
        <v>0</v>
      </c>
      <c r="BV53" s="230">
        <f t="shared" si="3"/>
        <v>4183.34</v>
      </c>
      <c r="BW53" s="230">
        <f t="shared" si="4"/>
        <v>4183.34</v>
      </c>
      <c r="BX53" s="230">
        <f t="shared" si="5"/>
        <v>0</v>
      </c>
      <c r="BY53" s="84"/>
      <c r="BZ53" s="230">
        <f t="shared" si="6"/>
        <v>4183.34</v>
      </c>
    </row>
    <row r="54" spans="1:78" ht="12.75" customHeight="1" outlineLevel="1">
      <c r="A54" s="104" t="s">
        <v>482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-5515.051</v>
      </c>
      <c r="M54" s="12">
        <v>0</v>
      </c>
      <c r="N54" s="12">
        <v>0</v>
      </c>
      <c r="O54" s="12">
        <v>0</v>
      </c>
      <c r="P54" s="12">
        <v>-2707.368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/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-675.318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/>
      <c r="BQ54" s="12"/>
      <c r="BR54" s="12"/>
      <c r="BS54" s="230">
        <f t="shared" si="0"/>
        <v>-8897.737</v>
      </c>
      <c r="BT54" s="230">
        <f t="shared" si="1"/>
        <v>-2707.368</v>
      </c>
      <c r="BU54" s="230">
        <f t="shared" si="2"/>
        <v>0</v>
      </c>
      <c r="BV54" s="230">
        <f t="shared" si="3"/>
        <v>-6190.369000000001</v>
      </c>
      <c r="BW54" s="230">
        <f t="shared" si="4"/>
        <v>-8897.737000000001</v>
      </c>
      <c r="BX54" s="230">
        <f t="shared" si="5"/>
        <v>0</v>
      </c>
      <c r="BY54" s="84"/>
      <c r="BZ54" s="230">
        <f t="shared" si="6"/>
        <v>-8897.737000000001</v>
      </c>
    </row>
    <row r="55" spans="1:78" ht="7.5" customHeight="1">
      <c r="A55" s="105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230"/>
      <c r="BT55" s="230"/>
      <c r="BU55" s="230"/>
      <c r="BV55" s="230"/>
      <c r="BW55" s="230"/>
      <c r="BX55" s="230"/>
      <c r="BY55" s="84"/>
      <c r="BZ55" s="230"/>
    </row>
    <row r="56" spans="1:78" ht="12" customHeight="1">
      <c r="A56" s="105" t="s">
        <v>514</v>
      </c>
      <c r="B56" s="12">
        <v>921614.757</v>
      </c>
      <c r="C56" s="12">
        <v>649562.404</v>
      </c>
      <c r="D56" s="12">
        <v>615633.298</v>
      </c>
      <c r="E56" s="12">
        <v>534029.878</v>
      </c>
      <c r="F56" s="12">
        <v>515993.564</v>
      </c>
      <c r="G56" s="12">
        <v>240744.974</v>
      </c>
      <c r="H56" s="12">
        <v>244178.304</v>
      </c>
      <c r="I56" s="12">
        <v>188712.966</v>
      </c>
      <c r="J56" s="12">
        <v>189406.984</v>
      </c>
      <c r="K56" s="12">
        <v>180829.87</v>
      </c>
      <c r="L56" s="12">
        <v>171168.485</v>
      </c>
      <c r="M56" s="12">
        <v>162877.036</v>
      </c>
      <c r="N56" s="12">
        <v>140231.328</v>
      </c>
      <c r="O56" s="12">
        <v>134786.453</v>
      </c>
      <c r="P56" s="12">
        <v>130582</v>
      </c>
      <c r="Q56" s="12">
        <v>130059.177</v>
      </c>
      <c r="R56" s="12">
        <v>111587.645</v>
      </c>
      <c r="S56" s="12">
        <v>92331</v>
      </c>
      <c r="T56" s="12">
        <v>90449.54</v>
      </c>
      <c r="U56" s="12">
        <v>42686.089</v>
      </c>
      <c r="V56" s="12">
        <v>81055.254</v>
      </c>
      <c r="W56" s="12">
        <v>76438.408</v>
      </c>
      <c r="X56" s="12">
        <v>64472.752</v>
      </c>
      <c r="Y56" s="12">
        <v>55298.757</v>
      </c>
      <c r="Z56" s="12">
        <v>55734.697</v>
      </c>
      <c r="AA56" s="12">
        <v>46258.377</v>
      </c>
      <c r="AB56" s="12">
        <v>43740.818</v>
      </c>
      <c r="AC56" s="12">
        <v>43864.886</v>
      </c>
      <c r="AD56" s="12">
        <v>41770.597</v>
      </c>
      <c r="AE56" s="12">
        <v>36952.604</v>
      </c>
      <c r="AF56" s="12">
        <v>36491.723</v>
      </c>
      <c r="AG56" s="12">
        <v>21163.27</v>
      </c>
      <c r="AH56" s="12">
        <v>29257.264</v>
      </c>
      <c r="AI56" s="12">
        <v>28573.278</v>
      </c>
      <c r="AJ56" s="12">
        <v>23076.073</v>
      </c>
      <c r="AK56" s="12">
        <v>21301.263</v>
      </c>
      <c r="AL56" s="12">
        <v>20856.826</v>
      </c>
      <c r="AM56" s="12">
        <v>18488.233</v>
      </c>
      <c r="AN56" s="12">
        <v>18147.552</v>
      </c>
      <c r="AO56" s="12">
        <v>11236.635</v>
      </c>
      <c r="AP56" s="12">
        <v>15484.357</v>
      </c>
      <c r="AQ56" s="12">
        <v>14916.593</v>
      </c>
      <c r="AR56" s="12">
        <v>15053.94</v>
      </c>
      <c r="AS56" s="12">
        <v>13603.808</v>
      </c>
      <c r="AT56" s="12">
        <v>14102.156</v>
      </c>
      <c r="AU56" s="12">
        <v>4923.217</v>
      </c>
      <c r="AV56" s="12">
        <v>12056.639</v>
      </c>
      <c r="AW56" s="12">
        <v>11632.962</v>
      </c>
      <c r="AX56" s="12">
        <v>10414.162</v>
      </c>
      <c r="AY56" s="12">
        <v>0</v>
      </c>
      <c r="AZ56" s="12">
        <v>7836.744</v>
      </c>
      <c r="BA56" s="12">
        <v>7425.562</v>
      </c>
      <c r="BB56" s="12">
        <v>6628.462</v>
      </c>
      <c r="BC56" s="12">
        <v>5775.457</v>
      </c>
      <c r="BD56" s="12">
        <v>4446.939</v>
      </c>
      <c r="BE56" s="12">
        <v>3536.764</v>
      </c>
      <c r="BF56" s="12">
        <v>2716.717</v>
      </c>
      <c r="BG56" s="12">
        <v>585.424</v>
      </c>
      <c r="BH56" s="12">
        <v>2923.403</v>
      </c>
      <c r="BI56" s="12">
        <v>2290.64</v>
      </c>
      <c r="BJ56" s="12">
        <v>325.942</v>
      </c>
      <c r="BK56" s="12">
        <v>1962.614</v>
      </c>
      <c r="BL56" s="12">
        <v>692</v>
      </c>
      <c r="BM56" s="12">
        <v>227.41</v>
      </c>
      <c r="BN56" s="12">
        <v>0</v>
      </c>
      <c r="BO56" s="12">
        <v>0</v>
      </c>
      <c r="BP56" s="12"/>
      <c r="BQ56" s="12"/>
      <c r="BR56" s="12"/>
      <c r="BS56" s="230">
        <f t="shared" si="0"/>
        <v>6421206.931000003</v>
      </c>
      <c r="BT56" s="230">
        <f t="shared" si="1"/>
        <v>1108915.437</v>
      </c>
      <c r="BU56" s="230">
        <f t="shared" si="2"/>
        <v>2396319.945</v>
      </c>
      <c r="BV56" s="230">
        <f t="shared" si="3"/>
        <v>2656951.813</v>
      </c>
      <c r="BW56" s="230">
        <f t="shared" si="4"/>
        <v>6162187.195</v>
      </c>
      <c r="BX56" s="230">
        <f t="shared" si="5"/>
        <v>259019.73599999998</v>
      </c>
      <c r="BY56" s="84"/>
      <c r="BZ56" s="230">
        <f t="shared" si="6"/>
        <v>6421206.931</v>
      </c>
    </row>
    <row r="57" spans="1:78" ht="8.25" customHeight="1">
      <c r="A57" s="105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230"/>
      <c r="BT57" s="230"/>
      <c r="BU57" s="230"/>
      <c r="BV57" s="230"/>
      <c r="BW57" s="230"/>
      <c r="BX57" s="230"/>
      <c r="BY57" s="84"/>
      <c r="BZ57" s="230"/>
    </row>
    <row r="58" spans="1:78" ht="12.75">
      <c r="A58" s="105" t="s">
        <v>515</v>
      </c>
      <c r="B58" s="226">
        <f aca="true" t="shared" si="23" ref="B58:AG58">B50+B52+B56</f>
        <v>7881403.4860000005</v>
      </c>
      <c r="C58" s="226">
        <f t="shared" si="23"/>
        <v>2202551.2800000003</v>
      </c>
      <c r="D58" s="226">
        <f t="shared" si="23"/>
        <v>3599676.2370000007</v>
      </c>
      <c r="E58" s="226">
        <f t="shared" si="23"/>
        <v>3178237.2460000003</v>
      </c>
      <c r="F58" s="226">
        <f t="shared" si="23"/>
        <v>3246754.0770000005</v>
      </c>
      <c r="G58" s="226">
        <f t="shared" si="23"/>
        <v>1643538.366</v>
      </c>
      <c r="H58" s="226">
        <f t="shared" si="23"/>
        <v>1571782.5660000003</v>
      </c>
      <c r="I58" s="226">
        <f t="shared" si="23"/>
        <v>1438493.733</v>
      </c>
      <c r="J58" s="226">
        <f t="shared" si="23"/>
        <v>1849838.767</v>
      </c>
      <c r="K58" s="226">
        <f t="shared" si="23"/>
        <v>1585421.622</v>
      </c>
      <c r="L58" s="226">
        <f t="shared" si="23"/>
        <v>898318.3350000002</v>
      </c>
      <c r="M58" s="226">
        <f t="shared" si="23"/>
        <v>880630.2139999999</v>
      </c>
      <c r="N58" s="226">
        <f t="shared" si="23"/>
        <v>1091179.4849999999</v>
      </c>
      <c r="O58" s="226">
        <f t="shared" si="23"/>
        <v>817538.3979999999</v>
      </c>
      <c r="P58" s="226">
        <f t="shared" si="23"/>
        <v>640395.4989999998</v>
      </c>
      <c r="Q58" s="226">
        <f t="shared" si="23"/>
        <v>766094.407</v>
      </c>
      <c r="R58" s="226">
        <f t="shared" si="23"/>
        <v>904975.1869999999</v>
      </c>
      <c r="S58" s="226">
        <f t="shared" si="23"/>
        <v>498062</v>
      </c>
      <c r="T58" s="226">
        <f t="shared" si="23"/>
        <v>448358.2089999999</v>
      </c>
      <c r="U58" s="226">
        <f t="shared" si="23"/>
        <v>2707012.8770000003</v>
      </c>
      <c r="V58" s="226">
        <f t="shared" si="23"/>
        <v>407846.75000000006</v>
      </c>
      <c r="W58" s="226">
        <f t="shared" si="23"/>
        <v>724839.6499999999</v>
      </c>
      <c r="X58" s="226">
        <f t="shared" si="23"/>
        <v>384882.478</v>
      </c>
      <c r="Y58" s="226">
        <f t="shared" si="23"/>
        <v>824597.156</v>
      </c>
      <c r="Z58" s="226">
        <f t="shared" si="23"/>
        <v>469357.6919999999</v>
      </c>
      <c r="AA58" s="226">
        <f t="shared" si="23"/>
        <v>247021.46299999993</v>
      </c>
      <c r="AB58" s="226">
        <f t="shared" si="23"/>
        <v>291138.711</v>
      </c>
      <c r="AC58" s="226">
        <f t="shared" si="23"/>
        <v>209932.539</v>
      </c>
      <c r="AD58" s="226">
        <f t="shared" si="23"/>
        <v>116711.98900000003</v>
      </c>
      <c r="AE58" s="226">
        <f t="shared" si="23"/>
        <v>324363.9949999999</v>
      </c>
      <c r="AF58" s="226">
        <f t="shared" si="23"/>
        <v>181378.90400000004</v>
      </c>
      <c r="AG58" s="226">
        <f t="shared" si="23"/>
        <v>769196.413</v>
      </c>
      <c r="AH58" s="226">
        <f aca="true" t="shared" si="24" ref="AH58:BO58">AH50+AH52+AH56</f>
        <v>132709.85199999998</v>
      </c>
      <c r="AI58" s="226">
        <f t="shared" si="24"/>
        <v>166605.64599999998</v>
      </c>
      <c r="AJ58" s="226">
        <f t="shared" si="24"/>
        <v>140610.36299999998</v>
      </c>
      <c r="AK58" s="226">
        <f t="shared" si="24"/>
        <v>140575.622</v>
      </c>
      <c r="AL58" s="226">
        <f t="shared" si="24"/>
        <v>129424.96899999998</v>
      </c>
      <c r="AM58" s="226">
        <f t="shared" si="24"/>
        <v>119205.28</v>
      </c>
      <c r="AN58" s="226">
        <f t="shared" si="24"/>
        <v>117800.476</v>
      </c>
      <c r="AO58" s="226">
        <f t="shared" si="24"/>
        <v>496737.46</v>
      </c>
      <c r="AP58" s="226">
        <f t="shared" si="24"/>
        <v>89949.49100000002</v>
      </c>
      <c r="AQ58" s="226">
        <f t="shared" si="24"/>
        <v>77181.91200000001</v>
      </c>
      <c r="AR58" s="226">
        <f t="shared" si="24"/>
        <v>62314.135999999984</v>
      </c>
      <c r="AS58" s="226">
        <f t="shared" si="24"/>
        <v>84442.68800000001</v>
      </c>
      <c r="AT58" s="226">
        <f t="shared" si="24"/>
        <v>74720.565</v>
      </c>
      <c r="AU58" s="226">
        <f>AU50+AU52+AU56</f>
        <v>615911.3969999999</v>
      </c>
      <c r="AV58" s="226">
        <f t="shared" si="24"/>
        <v>14280.488000000003</v>
      </c>
      <c r="AW58" s="226">
        <f t="shared" si="24"/>
        <v>45447.073000000004</v>
      </c>
      <c r="AX58" s="226">
        <f t="shared" si="24"/>
        <v>12401.794</v>
      </c>
      <c r="AY58" s="226">
        <f t="shared" si="24"/>
        <v>218.39299999999412</v>
      </c>
      <c r="AZ58" s="226">
        <f t="shared" si="24"/>
        <v>3106.8750000000027</v>
      </c>
      <c r="BA58" s="226">
        <f t="shared" si="24"/>
        <v>28845.266000000003</v>
      </c>
      <c r="BB58" s="226">
        <f t="shared" si="24"/>
        <v>29655.997</v>
      </c>
      <c r="BC58" s="226">
        <f t="shared" si="24"/>
        <v>34706.299</v>
      </c>
      <c r="BD58" s="226">
        <f t="shared" si="24"/>
        <v>18375.856</v>
      </c>
      <c r="BE58" s="226">
        <f t="shared" si="24"/>
        <v>9135.746999999996</v>
      </c>
      <c r="BF58" s="226">
        <f>BF50+BF52+BF56</f>
        <v>-3490.0309999999977</v>
      </c>
      <c r="BG58" s="226">
        <f t="shared" si="24"/>
        <v>151708.424</v>
      </c>
      <c r="BH58" s="226">
        <f t="shared" si="24"/>
        <v>6734.125</v>
      </c>
      <c r="BI58" s="226">
        <f t="shared" si="24"/>
        <v>7699.255000000001</v>
      </c>
      <c r="BJ58" s="226">
        <f t="shared" si="24"/>
        <v>-35.43099999999936</v>
      </c>
      <c r="BK58" s="226">
        <f t="shared" si="24"/>
        <v>598.1050000000037</v>
      </c>
      <c r="BL58" s="226">
        <f t="shared" si="24"/>
        <v>1558</v>
      </c>
      <c r="BM58" s="226">
        <f t="shared" si="24"/>
        <v>-184.78999999999982</v>
      </c>
      <c r="BN58" s="226">
        <f t="shared" si="24"/>
        <v>0.3549999999997908</v>
      </c>
      <c r="BO58" s="226">
        <f t="shared" si="24"/>
        <v>2.5011104298755527E-12</v>
      </c>
      <c r="BP58" s="226"/>
      <c r="BQ58" s="226"/>
      <c r="BR58" s="226"/>
      <c r="BS58" s="230">
        <f t="shared" si="0"/>
        <v>45610481.388000004</v>
      </c>
      <c r="BT58" s="230">
        <f t="shared" si="1"/>
        <v>6884488.123000002</v>
      </c>
      <c r="BU58" s="230">
        <f t="shared" si="2"/>
        <v>15582617.339999998</v>
      </c>
      <c r="BV58" s="230">
        <f t="shared" si="3"/>
        <v>19508805.440000005</v>
      </c>
      <c r="BW58" s="230">
        <f t="shared" si="4"/>
        <v>41975910.903000005</v>
      </c>
      <c r="BX58" s="230">
        <f t="shared" si="5"/>
        <v>3634570.4849999994</v>
      </c>
      <c r="BY58" s="84"/>
      <c r="BZ58" s="230">
        <f t="shared" si="6"/>
        <v>45610481.388000004</v>
      </c>
    </row>
    <row r="59" spans="1:78" ht="7.5" customHeight="1">
      <c r="A59" s="103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230"/>
      <c r="BT59" s="230"/>
      <c r="BU59" s="230"/>
      <c r="BV59" s="230"/>
      <c r="BW59" s="230"/>
      <c r="BX59" s="230"/>
      <c r="BY59" s="84"/>
      <c r="BZ59" s="230"/>
    </row>
    <row r="60" spans="1:78" ht="12.75">
      <c r="A60" s="105" t="s">
        <v>516</v>
      </c>
      <c r="B60" s="12">
        <v>45478093.59</v>
      </c>
      <c r="C60" s="12">
        <v>31463129.386</v>
      </c>
      <c r="D60" s="12">
        <v>29286142.3</v>
      </c>
      <c r="E60" s="12">
        <v>25359407.591</v>
      </c>
      <c r="F60" s="12">
        <v>24329832.392</v>
      </c>
      <c r="G60" s="12">
        <v>11557014.424</v>
      </c>
      <c r="H60" s="12">
        <v>11258233.047</v>
      </c>
      <c r="I60" s="12">
        <v>9662787.418</v>
      </c>
      <c r="J60" s="12">
        <v>8693805.912</v>
      </c>
      <c r="K60" s="12">
        <v>8363780.634</v>
      </c>
      <c r="L60" s="12">
        <v>8164440.768</v>
      </c>
      <c r="M60" s="12">
        <v>7768601.164</v>
      </c>
      <c r="N60" s="12">
        <v>6560580.972</v>
      </c>
      <c r="O60" s="12">
        <v>6410175.703</v>
      </c>
      <c r="P60" s="12">
        <v>6457379.123</v>
      </c>
      <c r="Q60" s="12">
        <v>6171373.711</v>
      </c>
      <c r="R60" s="12">
        <v>5188862.908</v>
      </c>
      <c r="S60" s="12">
        <v>4423985</v>
      </c>
      <c r="T60" s="12">
        <v>4324818.52</v>
      </c>
      <c r="U60" s="12">
        <v>1994037.123</v>
      </c>
      <c r="V60" s="12">
        <v>3873177</v>
      </c>
      <c r="W60" s="12">
        <v>3526133.926</v>
      </c>
      <c r="X60" s="12">
        <v>3056911.496</v>
      </c>
      <c r="Y60" s="12">
        <v>2435629.091</v>
      </c>
      <c r="Z60" s="12">
        <v>2593783.176</v>
      </c>
      <c r="AA60" s="12">
        <v>2204753.054</v>
      </c>
      <c r="AB60" s="12">
        <v>2076526.088</v>
      </c>
      <c r="AC60" s="12">
        <v>2102645.455</v>
      </c>
      <c r="AD60" s="12">
        <v>2034215.772</v>
      </c>
      <c r="AE60" s="12">
        <v>1693728.533</v>
      </c>
      <c r="AF60" s="12">
        <v>1744625.568</v>
      </c>
      <c r="AG60" s="12">
        <v>770100.49</v>
      </c>
      <c r="AH60" s="12">
        <v>1405335.627</v>
      </c>
      <c r="AI60" s="12">
        <v>1356270.327</v>
      </c>
      <c r="AJ60" s="12">
        <v>1126481.809</v>
      </c>
      <c r="AK60" s="12">
        <v>1004578.611</v>
      </c>
      <c r="AL60" s="12">
        <v>986889.083</v>
      </c>
      <c r="AM60" s="12">
        <v>875108.713</v>
      </c>
      <c r="AN60" s="12">
        <v>856629.004</v>
      </c>
      <c r="AO60" s="12">
        <v>435746.515</v>
      </c>
      <c r="AP60" s="12">
        <v>736150.492</v>
      </c>
      <c r="AQ60" s="12">
        <v>711934.554</v>
      </c>
      <c r="AR60" s="12">
        <v>715248.452</v>
      </c>
      <c r="AS60" s="12">
        <v>671892.522</v>
      </c>
      <c r="AT60" s="12">
        <v>670568.551</v>
      </c>
      <c r="AU60" s="12">
        <v>0</v>
      </c>
      <c r="AV60" s="12">
        <v>594578.988</v>
      </c>
      <c r="AW60" s="12">
        <v>562484.392</v>
      </c>
      <c r="AX60" s="12">
        <v>513580.383</v>
      </c>
      <c r="AY60" s="12">
        <f>419673.108+8499.078</f>
        <v>428172.186</v>
      </c>
      <c r="AZ60" s="12">
        <v>387957.6</v>
      </c>
      <c r="BA60" s="12">
        <v>358215.929</v>
      </c>
      <c r="BB60" s="12">
        <v>318208.2</v>
      </c>
      <c r="BC60" s="12">
        <v>273729.949</v>
      </c>
      <c r="BD60" s="12">
        <v>214086.226</v>
      </c>
      <c r="BE60" s="12">
        <v>172451.108</v>
      </c>
      <c r="BF60" s="12">
        <v>169245.961</v>
      </c>
      <c r="BG60" s="12">
        <v>0</v>
      </c>
      <c r="BH60" s="12">
        <v>142867.073</v>
      </c>
      <c r="BI60" s="12">
        <v>110979.729</v>
      </c>
      <c r="BJ60" s="12">
        <v>108419.453</v>
      </c>
      <c r="BK60" s="12">
        <v>97474.343</v>
      </c>
      <c r="BL60" s="12">
        <v>34260</v>
      </c>
      <c r="BM60" s="12">
        <v>11395.537</v>
      </c>
      <c r="BN60" s="12">
        <v>0</v>
      </c>
      <c r="BO60" s="12">
        <v>0</v>
      </c>
      <c r="BP60" s="12"/>
      <c r="BQ60" s="12"/>
      <c r="BR60" s="12"/>
      <c r="BS60" s="230">
        <f t="shared" si="0"/>
        <v>307079652.6520002</v>
      </c>
      <c r="BT60" s="230">
        <f t="shared" si="1"/>
        <v>53621176.316000015</v>
      </c>
      <c r="BU60" s="230">
        <f t="shared" si="2"/>
        <v>112916162.046</v>
      </c>
      <c r="BV60" s="230">
        <f t="shared" si="3"/>
        <v>128819478.90500002</v>
      </c>
      <c r="BW60" s="230">
        <f t="shared" si="4"/>
        <v>295356817.267</v>
      </c>
      <c r="BX60" s="230">
        <f t="shared" si="5"/>
        <v>11722835.385</v>
      </c>
      <c r="BY60" s="84"/>
      <c r="BZ60" s="230">
        <f t="shared" si="6"/>
        <v>307079652.652</v>
      </c>
    </row>
    <row r="61" spans="1:78" ht="10.5" customHeight="1">
      <c r="A61" s="105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230"/>
      <c r="BT61" s="230"/>
      <c r="BU61" s="230"/>
      <c r="BV61" s="230"/>
      <c r="BW61" s="230"/>
      <c r="BX61" s="230"/>
      <c r="BY61" s="84"/>
      <c r="BZ61" s="230"/>
    </row>
    <row r="62" spans="1:78" ht="12" customHeight="1">
      <c r="A62" s="105" t="s">
        <v>613</v>
      </c>
      <c r="BS62" s="230"/>
      <c r="BT62" s="230"/>
      <c r="BU62" s="230"/>
      <c r="BV62" s="230"/>
      <c r="BW62" s="230"/>
      <c r="BX62" s="230"/>
      <c r="BY62" s="84"/>
      <c r="BZ62" s="230"/>
    </row>
    <row r="63" spans="1:78" ht="12" customHeight="1">
      <c r="A63" s="105" t="s">
        <v>614</v>
      </c>
      <c r="B63" s="226">
        <f aca="true" t="shared" si="25" ref="B63:AG63">B60+B58</f>
        <v>53359497.076000005</v>
      </c>
      <c r="C63" s="226">
        <f t="shared" si="25"/>
        <v>33665680.666</v>
      </c>
      <c r="D63" s="226">
        <f t="shared" si="25"/>
        <v>32885818.537</v>
      </c>
      <c r="E63" s="226">
        <f t="shared" si="25"/>
        <v>28537644.836999997</v>
      </c>
      <c r="F63" s="226">
        <f t="shared" si="25"/>
        <v>27576586.469</v>
      </c>
      <c r="G63" s="226">
        <f t="shared" si="25"/>
        <v>13200552.790000001</v>
      </c>
      <c r="H63" s="226">
        <f t="shared" si="25"/>
        <v>12830015.613</v>
      </c>
      <c r="I63" s="226">
        <f t="shared" si="25"/>
        <v>11101281.151</v>
      </c>
      <c r="J63" s="226">
        <f t="shared" si="25"/>
        <v>10543644.679000001</v>
      </c>
      <c r="K63" s="226">
        <f t="shared" si="25"/>
        <v>9949202.256</v>
      </c>
      <c r="L63" s="226">
        <f t="shared" si="25"/>
        <v>9062759.103</v>
      </c>
      <c r="M63" s="226">
        <f t="shared" si="25"/>
        <v>8649231.378</v>
      </c>
      <c r="N63" s="226">
        <f t="shared" si="25"/>
        <v>7651760.457</v>
      </c>
      <c r="O63" s="226">
        <f t="shared" si="25"/>
        <v>7227714.101</v>
      </c>
      <c r="P63" s="226">
        <f t="shared" si="25"/>
        <v>7097774.6219999995</v>
      </c>
      <c r="Q63" s="226">
        <f t="shared" si="25"/>
        <v>6937468.118</v>
      </c>
      <c r="R63" s="226">
        <f t="shared" si="25"/>
        <v>6093838.095</v>
      </c>
      <c r="S63" s="226">
        <f t="shared" si="25"/>
        <v>4922047</v>
      </c>
      <c r="T63" s="226">
        <f t="shared" si="25"/>
        <v>4773176.728999999</v>
      </c>
      <c r="U63" s="226">
        <f t="shared" si="25"/>
        <v>4701050</v>
      </c>
      <c r="V63" s="226">
        <f t="shared" si="25"/>
        <v>4281023.75</v>
      </c>
      <c r="W63" s="226">
        <f t="shared" si="25"/>
        <v>4250973.575999999</v>
      </c>
      <c r="X63" s="226">
        <f t="shared" si="25"/>
        <v>3441793.974</v>
      </c>
      <c r="Y63" s="226">
        <f t="shared" si="25"/>
        <v>3260226.247</v>
      </c>
      <c r="Z63" s="226">
        <f t="shared" si="25"/>
        <v>3063140.868</v>
      </c>
      <c r="AA63" s="226">
        <f t="shared" si="25"/>
        <v>2451774.517</v>
      </c>
      <c r="AB63" s="226">
        <f t="shared" si="25"/>
        <v>2367664.799</v>
      </c>
      <c r="AC63" s="226">
        <f t="shared" si="25"/>
        <v>2312577.994</v>
      </c>
      <c r="AD63" s="226">
        <f t="shared" si="25"/>
        <v>2150927.761</v>
      </c>
      <c r="AE63" s="226">
        <f t="shared" si="25"/>
        <v>2018092.528</v>
      </c>
      <c r="AF63" s="226">
        <f t="shared" si="25"/>
        <v>1926004.472</v>
      </c>
      <c r="AG63" s="226">
        <f t="shared" si="25"/>
        <v>1539296.903</v>
      </c>
      <c r="AH63" s="226">
        <f aca="true" t="shared" si="26" ref="AH63:BO63">AH60+AH58</f>
        <v>1538045.479</v>
      </c>
      <c r="AI63" s="226">
        <f t="shared" si="26"/>
        <v>1522875.973</v>
      </c>
      <c r="AJ63" s="226">
        <f t="shared" si="26"/>
        <v>1267092.1719999998</v>
      </c>
      <c r="AK63" s="226">
        <f t="shared" si="26"/>
        <v>1145154.233</v>
      </c>
      <c r="AL63" s="226">
        <f t="shared" si="26"/>
        <v>1116314.052</v>
      </c>
      <c r="AM63" s="226">
        <f t="shared" si="26"/>
        <v>994313.993</v>
      </c>
      <c r="AN63" s="226">
        <f t="shared" si="26"/>
        <v>974429.48</v>
      </c>
      <c r="AO63" s="226">
        <f t="shared" si="26"/>
        <v>932483.9750000001</v>
      </c>
      <c r="AP63" s="226">
        <f t="shared" si="26"/>
        <v>826099.983</v>
      </c>
      <c r="AQ63" s="226">
        <f t="shared" si="26"/>
        <v>789116.466</v>
      </c>
      <c r="AR63" s="226">
        <f t="shared" si="26"/>
        <v>777562.588</v>
      </c>
      <c r="AS63" s="226">
        <f t="shared" si="26"/>
        <v>756335.21</v>
      </c>
      <c r="AT63" s="226">
        <f t="shared" si="26"/>
        <v>745289.1159999999</v>
      </c>
      <c r="AU63" s="226">
        <f>AU60+AU58</f>
        <v>615911.3969999999</v>
      </c>
      <c r="AV63" s="226">
        <f t="shared" si="26"/>
        <v>608859.476</v>
      </c>
      <c r="AW63" s="226">
        <f t="shared" si="26"/>
        <v>607931.465</v>
      </c>
      <c r="AX63" s="226">
        <f t="shared" si="26"/>
        <v>525982.177</v>
      </c>
      <c r="AY63" s="226">
        <f t="shared" si="26"/>
        <v>428390.57899999997</v>
      </c>
      <c r="AZ63" s="226">
        <f t="shared" si="26"/>
        <v>391064.475</v>
      </c>
      <c r="BA63" s="226">
        <f t="shared" si="26"/>
        <v>387061.195</v>
      </c>
      <c r="BB63" s="226">
        <f t="shared" si="26"/>
        <v>347864.197</v>
      </c>
      <c r="BC63" s="226">
        <f t="shared" si="26"/>
        <v>308436.248</v>
      </c>
      <c r="BD63" s="226">
        <f t="shared" si="26"/>
        <v>232462.082</v>
      </c>
      <c r="BE63" s="226">
        <f t="shared" si="26"/>
        <v>181586.855</v>
      </c>
      <c r="BF63" s="226">
        <f>BF60+BF58</f>
        <v>165755.93000000002</v>
      </c>
      <c r="BG63" s="226">
        <f t="shared" si="26"/>
        <v>151708.424</v>
      </c>
      <c r="BH63" s="226">
        <f t="shared" si="26"/>
        <v>149601.198</v>
      </c>
      <c r="BI63" s="226">
        <f t="shared" si="26"/>
        <v>118678.98400000001</v>
      </c>
      <c r="BJ63" s="226">
        <f t="shared" si="26"/>
        <v>108384.022</v>
      </c>
      <c r="BK63" s="226">
        <f t="shared" si="26"/>
        <v>98072.448</v>
      </c>
      <c r="BL63" s="226">
        <f t="shared" si="26"/>
        <v>35818</v>
      </c>
      <c r="BM63" s="226">
        <f t="shared" si="26"/>
        <v>11210.747000000001</v>
      </c>
      <c r="BN63" s="226">
        <f t="shared" si="26"/>
        <v>0.3549999999997908</v>
      </c>
      <c r="BO63" s="226">
        <f t="shared" si="26"/>
        <v>2.5011104298755527E-12</v>
      </c>
      <c r="BP63" s="226"/>
      <c r="BQ63" s="226"/>
      <c r="BR63" s="226"/>
      <c r="BS63" s="230">
        <f t="shared" si="0"/>
        <v>352690134.03999996</v>
      </c>
      <c r="BT63" s="230">
        <f t="shared" si="1"/>
        <v>60505664.438999996</v>
      </c>
      <c r="BU63" s="230">
        <f t="shared" si="2"/>
        <v>128498779.38600002</v>
      </c>
      <c r="BV63" s="230">
        <f t="shared" si="3"/>
        <v>148328284.345</v>
      </c>
      <c r="BW63" s="230">
        <f t="shared" si="4"/>
        <v>337332728.17</v>
      </c>
      <c r="BX63" s="230">
        <f t="shared" si="5"/>
        <v>15357405.870000001</v>
      </c>
      <c r="BY63" s="84"/>
      <c r="BZ63" s="230">
        <f t="shared" si="6"/>
        <v>352690134.04</v>
      </c>
    </row>
    <row r="64" spans="1:78" ht="11.25" customHeight="1">
      <c r="A64" s="105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84"/>
      <c r="BT64" s="84"/>
      <c r="BU64" s="84"/>
      <c r="BV64" s="84"/>
      <c r="BW64" s="84"/>
      <c r="BX64" s="84"/>
      <c r="BY64" s="84"/>
      <c r="BZ64" s="84"/>
    </row>
    <row r="65" spans="1:78" s="222" customFormat="1" ht="11.25" customHeight="1">
      <c r="A65" s="213" t="s">
        <v>473</v>
      </c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1"/>
      <c r="BT65" s="221"/>
      <c r="BU65" s="221"/>
      <c r="BV65" s="221"/>
      <c r="BW65" s="221"/>
      <c r="BX65" s="221"/>
      <c r="BY65" s="221"/>
      <c r="BZ65" s="221"/>
    </row>
    <row r="66" spans="1:78" s="222" customFormat="1" ht="11.25" customHeight="1">
      <c r="A66" s="213" t="s">
        <v>474</v>
      </c>
      <c r="B66" s="221"/>
      <c r="C66" s="221">
        <v>3224000</v>
      </c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>
        <v>633000</v>
      </c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1"/>
      <c r="AS66" s="221"/>
      <c r="AT66" s="221"/>
      <c r="AU66" s="221"/>
      <c r="AV66" s="221"/>
      <c r="AW66" s="221"/>
      <c r="AX66" s="221"/>
      <c r="AY66" s="221"/>
      <c r="AZ66" s="221"/>
      <c r="BA66" s="221"/>
      <c r="BB66" s="221"/>
      <c r="BC66" s="221"/>
      <c r="BD66" s="221"/>
      <c r="BE66" s="221"/>
      <c r="BF66" s="221"/>
      <c r="BG66" s="221"/>
      <c r="BH66" s="221"/>
      <c r="BI66" s="221"/>
      <c r="BJ66" s="221"/>
      <c r="BK66" s="221"/>
      <c r="BL66" s="221"/>
      <c r="BM66" s="221"/>
      <c r="BN66" s="221"/>
      <c r="BO66" s="221"/>
      <c r="BP66" s="221"/>
      <c r="BQ66" s="221"/>
      <c r="BR66" s="221"/>
      <c r="BS66" s="223"/>
      <c r="BT66" s="223"/>
      <c r="BU66" s="223"/>
      <c r="BV66" s="223"/>
      <c r="BW66" s="223"/>
      <c r="BX66" s="223"/>
      <c r="BY66" s="223"/>
      <c r="BZ66" s="223"/>
    </row>
    <row r="67" spans="1:22" s="222" customFormat="1" ht="11.25" customHeight="1">
      <c r="A67" s="219" t="s">
        <v>475</v>
      </c>
      <c r="C67" s="222">
        <f>SUM(C64:C66)</f>
        <v>3224000</v>
      </c>
      <c r="V67" s="222">
        <f>SUM(V64:V66)</f>
        <v>633000</v>
      </c>
    </row>
    <row r="68" ht="4.5" customHeight="1"/>
    <row r="69" spans="3:22" ht="10.5" customHeight="1">
      <c r="C69" s="86" t="s">
        <v>461</v>
      </c>
      <c r="V69" s="86" t="s">
        <v>461</v>
      </c>
    </row>
    <row r="70" spans="3:22" ht="10.5" customHeight="1">
      <c r="C70" s="86" t="s">
        <v>459</v>
      </c>
      <c r="V70" s="86" t="s">
        <v>459</v>
      </c>
    </row>
    <row r="71" spans="3:22" ht="10.5" customHeight="1">
      <c r="C71" s="86" t="s">
        <v>460</v>
      </c>
      <c r="V71" s="86" t="s">
        <v>460</v>
      </c>
    </row>
  </sheetData>
  <sheetProtection/>
  <mergeCells count="1">
    <mergeCell ref="BU2:BV3"/>
  </mergeCells>
  <printOptions/>
  <pageMargins left="0.5511811023622047" right="0.5511811023622047" top="1.535433070866142" bottom="0.7874015748031497" header="0.7086614173228347" footer="0.5511811023622047"/>
  <pageSetup horizontalDpi="300" verticalDpi="300" orientation="portrait" paperSize="9" scale="90" r:id="rId1"/>
  <headerFooter alignWithMargins="0">
    <oddHeader>&amp;C&amp;"Times New Roman,Bold"&amp;14
3.2.   YFIRLIT UM BREYTINGAR Á HREINNI EIGN 
TIL GREIÐSLU LÍFEYRIS FYRIR ÁRIÐ 1997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Z73"/>
  <sheetViews>
    <sheetView zoomScale="90" zoomScaleNormal="90" zoomScalePageLayoutView="0" workbookViewId="0" topLeftCell="A11">
      <pane xSplit="1" ySplit="6" topLeftCell="BR48" activePane="bottomRight" state="frozen"/>
      <selection pane="topLeft" activeCell="A11" sqref="A11"/>
      <selection pane="topRight" activeCell="B11" sqref="B11"/>
      <selection pane="bottomLeft" activeCell="A17" sqref="A17"/>
      <selection pane="bottomRight" activeCell="BT12" sqref="BT12:BV14"/>
    </sheetView>
  </sheetViews>
  <sheetFormatPr defaultColWidth="9.00390625" defaultRowHeight="12.75"/>
  <cols>
    <col min="1" max="1" width="26.75390625" style="99" customWidth="1"/>
    <col min="2" max="69" width="9.625" style="86" customWidth="1"/>
    <col min="70" max="70" width="9.75390625" style="86" customWidth="1"/>
    <col min="71" max="76" width="10.375" style="86" customWidth="1"/>
    <col min="77" max="77" width="2.625" style="86" customWidth="1"/>
    <col min="78" max="78" width="10.375" style="86" customWidth="1"/>
    <col min="79" max="79" width="10.25390625" style="86" customWidth="1"/>
    <col min="80" max="16384" width="9.00390625" style="86" customWidth="1"/>
  </cols>
  <sheetData>
    <row r="1" spans="1:78" ht="13.5">
      <c r="A1" s="101"/>
      <c r="B1" s="83"/>
      <c r="C1" s="83"/>
      <c r="D1" s="83"/>
      <c r="E1" s="83"/>
      <c r="F1" s="84"/>
      <c r="G1" s="83"/>
      <c r="H1" s="12"/>
      <c r="I1" s="83"/>
      <c r="J1" s="84"/>
      <c r="K1" s="84"/>
      <c r="L1" s="83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3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5"/>
      <c r="BT1" s="85"/>
      <c r="BU1" s="85"/>
      <c r="BV1" s="85"/>
      <c r="BW1" s="85"/>
      <c r="BX1" s="85"/>
      <c r="BY1" s="85"/>
      <c r="BZ1" s="85"/>
    </row>
    <row r="2" spans="1:78" ht="13.5">
      <c r="A2" s="101"/>
      <c r="B2" s="83"/>
      <c r="C2" s="83"/>
      <c r="D2" s="83"/>
      <c r="E2" s="83"/>
      <c r="F2" s="84"/>
      <c r="G2" s="83"/>
      <c r="H2" s="12"/>
      <c r="I2" s="83"/>
      <c r="J2" s="84"/>
      <c r="K2" s="84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3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5"/>
      <c r="BT2" s="85"/>
      <c r="BU2" s="85"/>
      <c r="BV2" s="85"/>
      <c r="BW2" s="85"/>
      <c r="BX2" s="85"/>
      <c r="BY2" s="85"/>
      <c r="BZ2" s="85"/>
    </row>
    <row r="3" spans="1:78" ht="13.5">
      <c r="A3" s="101"/>
      <c r="B3" s="83"/>
      <c r="C3" s="83"/>
      <c r="D3" s="83"/>
      <c r="E3" s="83"/>
      <c r="F3" s="84"/>
      <c r="G3" s="83"/>
      <c r="H3" s="12"/>
      <c r="I3" s="83"/>
      <c r="J3" s="84"/>
      <c r="K3" s="84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3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5"/>
      <c r="BT3" s="85"/>
      <c r="BU3" s="85"/>
      <c r="BV3" s="85"/>
      <c r="BW3" s="85"/>
      <c r="BX3" s="85"/>
      <c r="BY3" s="85"/>
      <c r="BZ3" s="85"/>
    </row>
    <row r="4" spans="1:78" ht="12.75">
      <c r="A4" s="98"/>
      <c r="B4" s="83"/>
      <c r="C4" s="83"/>
      <c r="D4" s="83"/>
      <c r="E4" s="83"/>
      <c r="F4" s="84"/>
      <c r="G4" s="83"/>
      <c r="H4" s="12"/>
      <c r="I4" s="83"/>
      <c r="J4" s="84"/>
      <c r="K4" s="84"/>
      <c r="L4" s="83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3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5"/>
      <c r="BT4" s="85"/>
      <c r="BU4" s="85"/>
      <c r="BV4" s="85"/>
      <c r="BW4" s="85"/>
      <c r="BX4" s="85"/>
      <c r="BY4" s="85"/>
      <c r="BZ4" s="85"/>
    </row>
    <row r="5" spans="1:78" s="124" customFormat="1" ht="18.75">
      <c r="A5" s="108"/>
      <c r="B5" s="109"/>
      <c r="C5" s="110"/>
      <c r="D5" s="112"/>
      <c r="E5" s="110"/>
      <c r="F5" s="111"/>
      <c r="G5" s="112"/>
      <c r="H5" s="113"/>
      <c r="I5" s="112"/>
      <c r="J5" s="115"/>
      <c r="K5" s="117"/>
      <c r="L5" s="114"/>
      <c r="M5" s="116"/>
      <c r="N5" s="110"/>
      <c r="O5" s="118"/>
      <c r="P5" s="116"/>
      <c r="Q5" s="119"/>
      <c r="R5" s="110"/>
      <c r="S5" s="110"/>
      <c r="T5" s="119"/>
      <c r="U5" s="119"/>
      <c r="V5" s="119"/>
      <c r="W5" s="119"/>
      <c r="X5" s="111"/>
      <c r="Y5" s="119"/>
      <c r="Z5" s="120"/>
      <c r="AA5" s="119"/>
      <c r="AB5" s="121"/>
      <c r="AC5" s="110"/>
      <c r="AD5" s="110"/>
      <c r="AE5" s="121"/>
      <c r="AF5" s="122"/>
      <c r="AG5" s="119"/>
      <c r="AH5" s="110"/>
      <c r="AI5" s="110"/>
      <c r="AJ5" s="123"/>
      <c r="AK5" s="110"/>
      <c r="AL5" s="119"/>
      <c r="AM5" s="5"/>
      <c r="AN5" s="119"/>
      <c r="AO5" s="5"/>
      <c r="AP5" s="119"/>
      <c r="AQ5" s="122"/>
      <c r="AR5" s="5"/>
      <c r="AS5" s="110"/>
      <c r="AT5" s="119"/>
      <c r="AU5" s="110"/>
      <c r="AV5" s="119"/>
      <c r="AW5" s="119"/>
      <c r="AX5" s="118"/>
      <c r="AY5" s="111"/>
      <c r="AZ5" s="110"/>
      <c r="BA5" s="111"/>
      <c r="BB5" s="110"/>
      <c r="BC5" s="116"/>
      <c r="BD5" s="110"/>
      <c r="BE5" s="110"/>
      <c r="BF5" s="119"/>
      <c r="BG5" s="110"/>
      <c r="BH5" s="119"/>
      <c r="BI5" s="110"/>
      <c r="BJ5" s="110"/>
      <c r="BK5" s="110"/>
      <c r="BL5" s="111"/>
      <c r="BM5" s="111"/>
      <c r="BN5" s="110"/>
      <c r="BO5" s="118"/>
      <c r="BP5" s="118"/>
      <c r="BS5" s="126"/>
      <c r="BT5" s="126"/>
      <c r="BU5" s="126"/>
      <c r="BV5" s="126"/>
      <c r="BW5" s="126"/>
      <c r="BX5" s="126"/>
      <c r="BY5" s="126"/>
      <c r="BZ5" s="126"/>
    </row>
    <row r="6" spans="1:78" ht="12.75">
      <c r="A6" s="98"/>
      <c r="B6" s="88"/>
      <c r="C6" s="83"/>
      <c r="D6" s="88"/>
      <c r="E6" s="83"/>
      <c r="F6" s="87"/>
      <c r="G6" s="88"/>
      <c r="H6" s="12"/>
      <c r="I6" s="88"/>
      <c r="J6" s="84"/>
      <c r="K6" s="87"/>
      <c r="L6" s="83"/>
      <c r="M6" s="84"/>
      <c r="N6" s="84"/>
      <c r="O6" s="87"/>
      <c r="P6" s="87"/>
      <c r="Q6" s="84"/>
      <c r="R6" s="87"/>
      <c r="S6" s="87"/>
      <c r="T6" s="84"/>
      <c r="U6" s="87"/>
      <c r="V6" s="84"/>
      <c r="W6" s="87"/>
      <c r="X6" s="87"/>
      <c r="Y6" s="87"/>
      <c r="Z6" s="87"/>
      <c r="AA6" s="87"/>
      <c r="AB6" s="87"/>
      <c r="AC6" s="84"/>
      <c r="AD6" s="84"/>
      <c r="AE6" s="87"/>
      <c r="AF6" s="87"/>
      <c r="AG6" s="87"/>
      <c r="AH6" s="87"/>
      <c r="AI6" s="84"/>
      <c r="AJ6" s="87"/>
      <c r="AK6" s="84"/>
      <c r="AL6" s="84"/>
      <c r="AM6" s="87"/>
      <c r="AN6" s="87"/>
      <c r="AO6" s="87"/>
      <c r="AP6" s="84"/>
      <c r="AQ6" s="87"/>
      <c r="AR6" s="87"/>
      <c r="AS6" s="87"/>
      <c r="AT6" s="87"/>
      <c r="AU6" s="83"/>
      <c r="AV6" s="87"/>
      <c r="AW6" s="84"/>
      <c r="AX6" s="87"/>
      <c r="AY6" s="87"/>
      <c r="AZ6" s="84"/>
      <c r="BA6" s="87"/>
      <c r="BB6" s="84"/>
      <c r="BC6" s="87"/>
      <c r="BD6" s="87"/>
      <c r="BE6" s="87"/>
      <c r="BF6" s="87"/>
      <c r="BG6" s="87"/>
      <c r="BH6" s="87"/>
      <c r="BI6" s="84"/>
      <c r="BJ6" s="87"/>
      <c r="BK6" s="84"/>
      <c r="BL6" s="87"/>
      <c r="BM6" s="90"/>
      <c r="BN6" s="87"/>
      <c r="BO6" s="87"/>
      <c r="BP6" s="87"/>
      <c r="BQ6" s="87"/>
      <c r="BR6" s="87"/>
      <c r="BS6" s="84"/>
      <c r="BT6" s="84"/>
      <c r="BU6" s="84"/>
      <c r="BV6" s="84"/>
      <c r="BW6" s="84"/>
      <c r="BX6" s="84"/>
      <c r="BY6" s="84"/>
      <c r="BZ6" s="84"/>
    </row>
    <row r="7" spans="1:78" ht="12.75">
      <c r="A7" s="98"/>
      <c r="B7" s="83"/>
      <c r="C7" s="83"/>
      <c r="D7" s="83"/>
      <c r="E7" s="83"/>
      <c r="F7" s="84"/>
      <c r="G7" s="83"/>
      <c r="H7" s="12"/>
      <c r="I7" s="83"/>
      <c r="J7" s="84"/>
      <c r="K7" s="84"/>
      <c r="L7" s="83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3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7"/>
      <c r="BT7" s="87"/>
      <c r="BU7" s="87"/>
      <c r="BV7" s="87"/>
      <c r="BW7" s="87"/>
      <c r="BX7" s="87"/>
      <c r="BY7" s="87"/>
      <c r="BZ7" s="87"/>
    </row>
    <row r="8" spans="1:78" ht="12.75">
      <c r="A8" s="98"/>
      <c r="B8" s="83"/>
      <c r="C8" s="83"/>
      <c r="D8" s="83"/>
      <c r="E8" s="83"/>
      <c r="F8" s="84"/>
      <c r="G8" s="83"/>
      <c r="H8" s="12"/>
      <c r="I8" s="83"/>
      <c r="J8" s="84"/>
      <c r="K8" s="84"/>
      <c r="L8" s="83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3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7"/>
      <c r="BT8" s="87"/>
      <c r="BU8" s="87"/>
      <c r="BV8" s="87"/>
      <c r="BW8" s="87"/>
      <c r="BX8" s="87"/>
      <c r="BY8" s="87"/>
      <c r="BZ8" s="87"/>
    </row>
    <row r="9" spans="1:78" ht="12.75">
      <c r="A9" s="98"/>
      <c r="B9" s="83"/>
      <c r="C9" s="83"/>
      <c r="D9" s="83"/>
      <c r="E9" s="83"/>
      <c r="F9" s="84"/>
      <c r="G9" s="83"/>
      <c r="H9" s="12"/>
      <c r="I9" s="83"/>
      <c r="J9" s="84"/>
      <c r="K9" s="84"/>
      <c r="L9" s="83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3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7"/>
      <c r="BT9" s="87"/>
      <c r="BU9" s="87"/>
      <c r="BV9" s="87"/>
      <c r="BW9" s="87"/>
      <c r="BX9" s="87"/>
      <c r="BY9" s="87"/>
      <c r="BZ9" s="87"/>
    </row>
    <row r="10" spans="1:78" ht="12.75">
      <c r="A10" s="98"/>
      <c r="B10" s="83"/>
      <c r="C10" s="83"/>
      <c r="D10" s="83"/>
      <c r="E10" s="83"/>
      <c r="F10" s="84"/>
      <c r="G10" s="83"/>
      <c r="H10" s="12"/>
      <c r="I10" s="83"/>
      <c r="J10" s="84"/>
      <c r="K10" s="84"/>
      <c r="L10" s="83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3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7"/>
      <c r="BT10" s="87"/>
      <c r="BU10" s="87"/>
      <c r="BV10" s="87"/>
      <c r="BW10" s="87"/>
      <c r="BX10" s="87"/>
      <c r="BY10" s="87"/>
      <c r="BZ10" s="87"/>
    </row>
    <row r="11" spans="1:78" ht="12.75">
      <c r="A11" s="98"/>
      <c r="B11" s="128"/>
      <c r="C11" s="128"/>
      <c r="D11" s="128"/>
      <c r="E11" s="128"/>
      <c r="F11" s="84"/>
      <c r="G11" s="128"/>
      <c r="H11" s="12"/>
      <c r="I11" s="128"/>
      <c r="J11" s="84"/>
      <c r="K11" s="84"/>
      <c r="L11" s="128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128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7"/>
      <c r="BT11" s="87"/>
      <c r="BU11" s="87"/>
      <c r="BV11" s="87"/>
      <c r="BW11" s="87"/>
      <c r="BX11" s="87"/>
      <c r="BY11" s="87"/>
      <c r="BZ11" s="87"/>
    </row>
    <row r="12" spans="1:78" s="99" customFormat="1" ht="12.75">
      <c r="A12" s="98"/>
      <c r="B12" s="247" t="s">
        <v>0</v>
      </c>
      <c r="C12" s="247" t="s">
        <v>0</v>
      </c>
      <c r="D12" s="247" t="s">
        <v>0</v>
      </c>
      <c r="E12" s="247" t="s">
        <v>0</v>
      </c>
      <c r="F12" s="248" t="s">
        <v>1</v>
      </c>
      <c r="G12" s="247" t="s">
        <v>2</v>
      </c>
      <c r="H12" s="247" t="s">
        <v>0</v>
      </c>
      <c r="I12" s="247" t="s">
        <v>3</v>
      </c>
      <c r="J12" s="248" t="s">
        <v>0</v>
      </c>
      <c r="K12" s="248" t="s">
        <v>0</v>
      </c>
      <c r="L12" s="247" t="s">
        <v>0</v>
      </c>
      <c r="M12" s="248" t="s">
        <v>0</v>
      </c>
      <c r="N12" s="248" t="s">
        <v>0</v>
      </c>
      <c r="O12" s="248" t="s">
        <v>0</v>
      </c>
      <c r="P12" s="248" t="s">
        <v>4</v>
      </c>
      <c r="Q12" s="248" t="s">
        <v>0</v>
      </c>
      <c r="R12" s="248" t="s">
        <v>0</v>
      </c>
      <c r="S12" s="248" t="s">
        <v>0</v>
      </c>
      <c r="T12" s="248" t="s">
        <v>657</v>
      </c>
      <c r="U12" s="248" t="s">
        <v>6</v>
      </c>
      <c r="V12" s="248" t="s">
        <v>0</v>
      </c>
      <c r="W12" s="248" t="s">
        <v>5</v>
      </c>
      <c r="X12" s="248" t="s">
        <v>0</v>
      </c>
      <c r="Y12" s="248" t="s">
        <v>8</v>
      </c>
      <c r="Z12" s="248" t="s">
        <v>0</v>
      </c>
      <c r="AA12" s="248" t="s">
        <v>0</v>
      </c>
      <c r="AB12" s="248" t="s">
        <v>0</v>
      </c>
      <c r="AC12" s="248" t="s">
        <v>0</v>
      </c>
      <c r="AD12" s="248" t="s">
        <v>0</v>
      </c>
      <c r="AE12" s="248" t="s">
        <v>7</v>
      </c>
      <c r="AF12" s="248" t="s">
        <v>4</v>
      </c>
      <c r="AG12" s="248" t="s">
        <v>9</v>
      </c>
      <c r="AH12" s="248" t="s">
        <v>0</v>
      </c>
      <c r="AI12" s="248" t="s">
        <v>0</v>
      </c>
      <c r="AJ12" s="248" t="s">
        <v>0</v>
      </c>
      <c r="AK12" s="248" t="s">
        <v>4</v>
      </c>
      <c r="AL12" s="248" t="s">
        <v>0</v>
      </c>
      <c r="AM12" s="248" t="s">
        <v>0</v>
      </c>
      <c r="AN12" s="248" t="s">
        <v>0</v>
      </c>
      <c r="AO12" s="248" t="s">
        <v>7</v>
      </c>
      <c r="AP12" s="248" t="s">
        <v>4</v>
      </c>
      <c r="AQ12" s="248" t="s">
        <v>0</v>
      </c>
      <c r="AR12" s="248" t="s">
        <v>0</v>
      </c>
      <c r="AS12" s="248" t="s">
        <v>0</v>
      </c>
      <c r="AT12" s="248" t="s">
        <v>0</v>
      </c>
      <c r="AU12" s="247" t="s">
        <v>0</v>
      </c>
      <c r="AV12" s="248" t="s">
        <v>4</v>
      </c>
      <c r="AW12" s="248" t="s">
        <v>0</v>
      </c>
      <c r="AX12" s="248" t="s">
        <v>4</v>
      </c>
      <c r="AY12" s="248" t="s">
        <v>0</v>
      </c>
      <c r="AZ12" s="248" t="s">
        <v>7</v>
      </c>
      <c r="BA12" s="248" t="s">
        <v>0</v>
      </c>
      <c r="BB12" s="248" t="s">
        <v>4</v>
      </c>
      <c r="BC12" s="248" t="s">
        <v>7</v>
      </c>
      <c r="BD12" s="248" t="s">
        <v>0</v>
      </c>
      <c r="BE12" s="248" t="s">
        <v>4</v>
      </c>
      <c r="BF12" s="248" t="s">
        <v>0</v>
      </c>
      <c r="BG12" s="248" t="s">
        <v>66</v>
      </c>
      <c r="BH12" s="248" t="s">
        <v>0</v>
      </c>
      <c r="BI12" s="248" t="s">
        <v>0</v>
      </c>
      <c r="BJ12" s="248" t="s">
        <v>10</v>
      </c>
      <c r="BK12" s="248" t="s">
        <v>0</v>
      </c>
      <c r="BL12" s="248" t="s">
        <v>0</v>
      </c>
      <c r="BM12" s="248" t="s">
        <v>0</v>
      </c>
      <c r="BN12" s="248" t="s">
        <v>0</v>
      </c>
      <c r="BO12" s="248" t="s">
        <v>0</v>
      </c>
      <c r="BP12" s="248"/>
      <c r="BQ12" s="248"/>
      <c r="BR12" s="248"/>
      <c r="BS12" s="248" t="s">
        <v>11</v>
      </c>
      <c r="BT12" s="258" t="s">
        <v>691</v>
      </c>
      <c r="BU12" s="335" t="s">
        <v>688</v>
      </c>
      <c r="BV12" s="335"/>
      <c r="BW12" s="248"/>
      <c r="BX12" s="248"/>
      <c r="BY12" s="248"/>
      <c r="BZ12" s="248" t="s">
        <v>12</v>
      </c>
    </row>
    <row r="13" spans="1:78" s="99" customFormat="1" ht="12.75">
      <c r="A13" s="100" t="s">
        <v>13</v>
      </c>
      <c r="B13" s="247" t="s">
        <v>14</v>
      </c>
      <c r="C13" s="247" t="s">
        <v>642</v>
      </c>
      <c r="D13" s="247" t="s">
        <v>18</v>
      </c>
      <c r="E13" s="247" t="s">
        <v>15</v>
      </c>
      <c r="F13" s="248" t="s">
        <v>17</v>
      </c>
      <c r="G13" s="247" t="s">
        <v>17</v>
      </c>
      <c r="H13" s="247" t="s">
        <v>19</v>
      </c>
      <c r="I13" s="247" t="s">
        <v>17</v>
      </c>
      <c r="J13" s="248" t="s">
        <v>21</v>
      </c>
      <c r="K13" s="248" t="s">
        <v>553</v>
      </c>
      <c r="L13" s="247" t="s">
        <v>20</v>
      </c>
      <c r="M13" s="248" t="s">
        <v>22</v>
      </c>
      <c r="N13" s="248" t="s">
        <v>25</v>
      </c>
      <c r="O13" s="248" t="s">
        <v>24</v>
      </c>
      <c r="P13" s="248" t="s">
        <v>23</v>
      </c>
      <c r="Q13" s="248" t="s">
        <v>26</v>
      </c>
      <c r="R13" s="248" t="s">
        <v>27</v>
      </c>
      <c r="S13" s="248" t="s">
        <v>28</v>
      </c>
      <c r="T13" s="248" t="s">
        <v>58</v>
      </c>
      <c r="U13" s="248" t="s">
        <v>33</v>
      </c>
      <c r="V13" s="248" t="s">
        <v>29</v>
      </c>
      <c r="W13" s="248" t="s">
        <v>17</v>
      </c>
      <c r="X13" s="248" t="s">
        <v>30</v>
      </c>
      <c r="Y13" s="248" t="s">
        <v>36</v>
      </c>
      <c r="Z13" s="248" t="s">
        <v>31</v>
      </c>
      <c r="AA13" s="248" t="s">
        <v>16</v>
      </c>
      <c r="AB13" s="248" t="s">
        <v>30</v>
      </c>
      <c r="AC13" s="248" t="s">
        <v>32</v>
      </c>
      <c r="AD13" s="248" t="s">
        <v>34</v>
      </c>
      <c r="AE13" s="248" t="s">
        <v>35</v>
      </c>
      <c r="AF13" s="248" t="s">
        <v>16</v>
      </c>
      <c r="AG13" s="248" t="s">
        <v>17</v>
      </c>
      <c r="AH13" s="248" t="s">
        <v>37</v>
      </c>
      <c r="AI13" s="248" t="s">
        <v>38</v>
      </c>
      <c r="AJ13" s="248" t="s">
        <v>39</v>
      </c>
      <c r="AK13" s="248" t="s">
        <v>40</v>
      </c>
      <c r="AL13" s="248" t="s">
        <v>41</v>
      </c>
      <c r="AM13" s="248" t="s">
        <v>42</v>
      </c>
      <c r="AN13" s="248" t="s">
        <v>43</v>
      </c>
      <c r="AO13" s="248" t="s">
        <v>35</v>
      </c>
      <c r="AP13" s="248" t="s">
        <v>44</v>
      </c>
      <c r="AQ13" s="248" t="s">
        <v>46</v>
      </c>
      <c r="AR13" s="248" t="s">
        <v>45</v>
      </c>
      <c r="AS13" s="248" t="s">
        <v>47</v>
      </c>
      <c r="AT13" s="248" t="s">
        <v>48</v>
      </c>
      <c r="AU13" s="247" t="s">
        <v>642</v>
      </c>
      <c r="AV13" s="248" t="s">
        <v>49</v>
      </c>
      <c r="AW13" s="248" t="s">
        <v>50</v>
      </c>
      <c r="AX13" s="248" t="s">
        <v>51</v>
      </c>
      <c r="AY13" s="248" t="s">
        <v>16</v>
      </c>
      <c r="AZ13" s="248" t="s">
        <v>35</v>
      </c>
      <c r="BA13" s="248" t="s">
        <v>52</v>
      </c>
      <c r="BB13" s="248" t="s">
        <v>625</v>
      </c>
      <c r="BC13" s="248" t="s">
        <v>58</v>
      </c>
      <c r="BD13" s="248" t="s">
        <v>53</v>
      </c>
      <c r="BE13" s="248" t="s">
        <v>55</v>
      </c>
      <c r="BF13" s="248" t="s">
        <v>54</v>
      </c>
      <c r="BG13" s="248" t="s">
        <v>17</v>
      </c>
      <c r="BH13" s="248" t="s">
        <v>56</v>
      </c>
      <c r="BI13" s="248" t="s">
        <v>57</v>
      </c>
      <c r="BJ13" s="248" t="s">
        <v>58</v>
      </c>
      <c r="BK13" s="248" t="s">
        <v>59</v>
      </c>
      <c r="BL13" s="248" t="s">
        <v>60</v>
      </c>
      <c r="BM13" s="248" t="s">
        <v>61</v>
      </c>
      <c r="BN13" s="248" t="s">
        <v>62</v>
      </c>
      <c r="BO13" s="248" t="s">
        <v>63</v>
      </c>
      <c r="BP13" s="248"/>
      <c r="BQ13" s="248"/>
      <c r="BR13" s="248"/>
      <c r="BS13" s="248" t="s">
        <v>64</v>
      </c>
      <c r="BT13" s="258" t="s">
        <v>692</v>
      </c>
      <c r="BU13" s="335"/>
      <c r="BV13" s="335"/>
      <c r="BW13" s="248"/>
      <c r="BX13" s="248" t="s">
        <v>66</v>
      </c>
      <c r="BY13" s="248"/>
      <c r="BZ13" s="248" t="s">
        <v>64</v>
      </c>
    </row>
    <row r="14" spans="1:78" s="99" customFormat="1" ht="12.75">
      <c r="A14" s="98"/>
      <c r="B14" s="247" t="s">
        <v>67</v>
      </c>
      <c r="C14" s="247" t="s">
        <v>643</v>
      </c>
      <c r="D14" s="247"/>
      <c r="E14" s="247"/>
      <c r="F14" s="248" t="s">
        <v>35</v>
      </c>
      <c r="G14" s="247" t="s">
        <v>68</v>
      </c>
      <c r="H14" s="247" t="s">
        <v>69</v>
      </c>
      <c r="I14" s="247" t="s">
        <v>35</v>
      </c>
      <c r="J14" s="248" t="s">
        <v>69</v>
      </c>
      <c r="K14" s="248"/>
      <c r="L14" s="247"/>
      <c r="M14" s="248" t="s">
        <v>70</v>
      </c>
      <c r="N14" s="248"/>
      <c r="O14" s="248" t="s">
        <v>72</v>
      </c>
      <c r="P14" s="248" t="s">
        <v>71</v>
      </c>
      <c r="Q14" s="248" t="s">
        <v>632</v>
      </c>
      <c r="R14" s="248" t="s">
        <v>73</v>
      </c>
      <c r="S14" s="248" t="s">
        <v>69</v>
      </c>
      <c r="T14" s="248" t="s">
        <v>658</v>
      </c>
      <c r="U14" s="248" t="s">
        <v>77</v>
      </c>
      <c r="V14" s="248" t="s">
        <v>469</v>
      </c>
      <c r="W14" s="248" t="s">
        <v>35</v>
      </c>
      <c r="X14" s="248" t="s">
        <v>74</v>
      </c>
      <c r="Y14" s="248" t="s">
        <v>81</v>
      </c>
      <c r="Z14" s="248" t="s">
        <v>73</v>
      </c>
      <c r="AA14" s="248" t="s">
        <v>76</v>
      </c>
      <c r="AB14" s="248" t="s">
        <v>75</v>
      </c>
      <c r="AC14" s="248"/>
      <c r="AD14" s="248" t="s">
        <v>78</v>
      </c>
      <c r="AE14" s="248" t="s">
        <v>80</v>
      </c>
      <c r="AF14" s="248" t="s">
        <v>79</v>
      </c>
      <c r="AG14" s="248" t="s">
        <v>93</v>
      </c>
      <c r="AH14" s="248" t="s">
        <v>82</v>
      </c>
      <c r="AI14" s="248" t="s">
        <v>83</v>
      </c>
      <c r="AJ14" s="248"/>
      <c r="AK14" s="248" t="s">
        <v>84</v>
      </c>
      <c r="AL14" s="248" t="s">
        <v>85</v>
      </c>
      <c r="AM14" s="248" t="s">
        <v>86</v>
      </c>
      <c r="AN14" s="248" t="s">
        <v>87</v>
      </c>
      <c r="AO14" s="248" t="s">
        <v>98</v>
      </c>
      <c r="AP14" s="248" t="s">
        <v>88</v>
      </c>
      <c r="AQ14" s="248" t="s">
        <v>84</v>
      </c>
      <c r="AR14" s="248" t="s">
        <v>89</v>
      </c>
      <c r="AS14" s="248" t="s">
        <v>73</v>
      </c>
      <c r="AT14" s="248" t="s">
        <v>90</v>
      </c>
      <c r="AU14" s="247" t="s">
        <v>644</v>
      </c>
      <c r="AV14" s="248" t="s">
        <v>91</v>
      </c>
      <c r="AW14" s="248" t="s">
        <v>88</v>
      </c>
      <c r="AX14" s="248" t="s">
        <v>92</v>
      </c>
      <c r="AY14" s="248" t="s">
        <v>94</v>
      </c>
      <c r="AZ14" s="248" t="s">
        <v>95</v>
      </c>
      <c r="BA14" s="248" t="s">
        <v>96</v>
      </c>
      <c r="BB14" s="248" t="s">
        <v>97</v>
      </c>
      <c r="BC14" s="248" t="s">
        <v>652</v>
      </c>
      <c r="BD14" s="248" t="s">
        <v>99</v>
      </c>
      <c r="BE14" s="248" t="s">
        <v>101</v>
      </c>
      <c r="BF14" s="248" t="s">
        <v>100</v>
      </c>
      <c r="BG14" s="248" t="s">
        <v>35</v>
      </c>
      <c r="BH14" s="248" t="s">
        <v>102</v>
      </c>
      <c r="BI14" s="248" t="s">
        <v>103</v>
      </c>
      <c r="BJ14" s="248" t="s">
        <v>104</v>
      </c>
      <c r="BK14" s="248" t="s">
        <v>105</v>
      </c>
      <c r="BL14" s="248" t="s">
        <v>106</v>
      </c>
      <c r="BM14" s="248" t="s">
        <v>107</v>
      </c>
      <c r="BN14" s="248" t="s">
        <v>67</v>
      </c>
      <c r="BO14" s="248"/>
      <c r="BP14" s="248"/>
      <c r="BQ14" s="248"/>
      <c r="BR14" s="248"/>
      <c r="BS14" s="248" t="s">
        <v>108</v>
      </c>
      <c r="BT14" s="258" t="s">
        <v>687</v>
      </c>
      <c r="BU14" s="258" t="s">
        <v>689</v>
      </c>
      <c r="BV14" s="258" t="s">
        <v>690</v>
      </c>
      <c r="BW14" s="248" t="s">
        <v>109</v>
      </c>
      <c r="BX14" s="248" t="s">
        <v>65</v>
      </c>
      <c r="BY14" s="248"/>
      <c r="BZ14" s="248" t="s">
        <v>108</v>
      </c>
    </row>
    <row r="15" spans="1:78" s="229" customFormat="1" ht="12.75">
      <c r="A15" s="242"/>
      <c r="B15" s="249" t="s">
        <v>110</v>
      </c>
      <c r="C15" s="250" t="s">
        <v>111</v>
      </c>
      <c r="D15" s="250" t="s">
        <v>112</v>
      </c>
      <c r="E15" s="250" t="s">
        <v>113</v>
      </c>
      <c r="F15" s="251" t="s">
        <v>114</v>
      </c>
      <c r="G15" s="250" t="s">
        <v>115</v>
      </c>
      <c r="H15" s="250" t="s">
        <v>116</v>
      </c>
      <c r="I15" s="250" t="s">
        <v>117</v>
      </c>
      <c r="J15" s="253" t="s">
        <v>391</v>
      </c>
      <c r="K15" s="253" t="s">
        <v>392</v>
      </c>
      <c r="L15" s="252" t="s">
        <v>118</v>
      </c>
      <c r="M15" s="253" t="s">
        <v>119</v>
      </c>
      <c r="N15" s="251" t="s">
        <v>120</v>
      </c>
      <c r="O15" s="251" t="s">
        <v>121</v>
      </c>
      <c r="P15" s="251" t="s">
        <v>122</v>
      </c>
      <c r="Q15" s="251" t="s">
        <v>123</v>
      </c>
      <c r="R15" s="251" t="s">
        <v>124</v>
      </c>
      <c r="S15" s="251" t="s">
        <v>125</v>
      </c>
      <c r="T15" s="251" t="s">
        <v>126</v>
      </c>
      <c r="U15" s="251" t="s">
        <v>127</v>
      </c>
      <c r="V15" s="251" t="s">
        <v>128</v>
      </c>
      <c r="W15" s="251" t="s">
        <v>129</v>
      </c>
      <c r="X15" s="251" t="s">
        <v>130</v>
      </c>
      <c r="Y15" s="251" t="s">
        <v>131</v>
      </c>
      <c r="Z15" s="251" t="s">
        <v>132</v>
      </c>
      <c r="AA15" s="251" t="s">
        <v>133</v>
      </c>
      <c r="AB15" s="251" t="s">
        <v>134</v>
      </c>
      <c r="AC15" s="251" t="s">
        <v>135</v>
      </c>
      <c r="AD15" s="251" t="s">
        <v>136</v>
      </c>
      <c r="AE15" s="251" t="s">
        <v>137</v>
      </c>
      <c r="AF15" s="251" t="s">
        <v>138</v>
      </c>
      <c r="AG15" s="251" t="s">
        <v>139</v>
      </c>
      <c r="AH15" s="251" t="s">
        <v>140</v>
      </c>
      <c r="AI15" s="251" t="s">
        <v>141</v>
      </c>
      <c r="AJ15" s="251" t="s">
        <v>142</v>
      </c>
      <c r="AK15" s="254" t="s">
        <v>143</v>
      </c>
      <c r="AL15" s="251" t="s">
        <v>144</v>
      </c>
      <c r="AM15" s="251" t="s">
        <v>145</v>
      </c>
      <c r="AN15" s="251" t="s">
        <v>146</v>
      </c>
      <c r="AO15" s="251" t="s">
        <v>147</v>
      </c>
      <c r="AP15" s="251" t="s">
        <v>148</v>
      </c>
      <c r="AQ15" s="251" t="s">
        <v>149</v>
      </c>
      <c r="AR15" s="251" t="s">
        <v>150</v>
      </c>
      <c r="AS15" s="251" t="s">
        <v>151</v>
      </c>
      <c r="AT15" s="251" t="s">
        <v>152</v>
      </c>
      <c r="AU15" s="251" t="s">
        <v>153</v>
      </c>
      <c r="AV15" s="251" t="s">
        <v>154</v>
      </c>
      <c r="AW15" s="251" t="s">
        <v>155</v>
      </c>
      <c r="AX15" s="251" t="s">
        <v>156</v>
      </c>
      <c r="AY15" s="251" t="s">
        <v>157</v>
      </c>
      <c r="AZ15" s="251" t="s">
        <v>158</v>
      </c>
      <c r="BA15" s="251" t="s">
        <v>159</v>
      </c>
      <c r="BB15" s="251" t="s">
        <v>471</v>
      </c>
      <c r="BC15" s="251" t="s">
        <v>160</v>
      </c>
      <c r="BD15" s="251" t="s">
        <v>161</v>
      </c>
      <c r="BE15" s="251" t="s">
        <v>162</v>
      </c>
      <c r="BF15" s="254" t="s">
        <v>163</v>
      </c>
      <c r="BG15" s="251" t="s">
        <v>164</v>
      </c>
      <c r="BH15" s="251" t="s">
        <v>472</v>
      </c>
      <c r="BI15" s="251" t="s">
        <v>165</v>
      </c>
      <c r="BJ15" s="254" t="s">
        <v>166</v>
      </c>
      <c r="BK15" s="251" t="s">
        <v>167</v>
      </c>
      <c r="BL15" s="251" t="s">
        <v>168</v>
      </c>
      <c r="BM15" s="254" t="s">
        <v>169</v>
      </c>
      <c r="BN15" s="251" t="s">
        <v>170</v>
      </c>
      <c r="BO15" s="251" t="s">
        <v>171</v>
      </c>
      <c r="BP15" s="251"/>
      <c r="BQ15" s="251"/>
      <c r="BR15" s="251"/>
      <c r="BS15" s="252"/>
      <c r="BT15" s="252" t="s">
        <v>172</v>
      </c>
      <c r="BU15" s="252" t="s">
        <v>622</v>
      </c>
      <c r="BV15" s="252" t="s">
        <v>663</v>
      </c>
      <c r="BW15" s="252" t="s">
        <v>648</v>
      </c>
      <c r="BX15" s="252" t="s">
        <v>554</v>
      </c>
      <c r="BY15" s="252"/>
      <c r="BZ15" s="252" t="s">
        <v>649</v>
      </c>
    </row>
    <row r="16" spans="1:78" ht="12.75">
      <c r="A16" s="98"/>
      <c r="B16" s="83"/>
      <c r="C16" s="83"/>
      <c r="D16" s="83"/>
      <c r="E16" s="83"/>
      <c r="F16" s="84"/>
      <c r="G16" s="83"/>
      <c r="H16" s="12"/>
      <c r="I16" s="83"/>
      <c r="J16" s="84"/>
      <c r="K16" s="84"/>
      <c r="L16" s="83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3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5"/>
      <c r="BT16" s="85"/>
      <c r="BU16" s="85"/>
      <c r="BV16" s="85"/>
      <c r="BW16" s="85"/>
      <c r="BX16" s="85"/>
      <c r="BY16" s="85"/>
      <c r="BZ16" s="85"/>
    </row>
    <row r="17" spans="1:78" ht="12.75">
      <c r="A17" s="102" t="s">
        <v>523</v>
      </c>
      <c r="B17" s="83"/>
      <c r="C17" s="83"/>
      <c r="D17" s="83"/>
      <c r="E17" s="83"/>
      <c r="F17" s="84"/>
      <c r="G17" s="83"/>
      <c r="H17" s="12"/>
      <c r="I17" s="83"/>
      <c r="J17" s="84"/>
      <c r="K17" s="84"/>
      <c r="L17" s="83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3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5"/>
      <c r="BT17" s="85"/>
      <c r="BU17" s="85"/>
      <c r="BV17" s="85"/>
      <c r="BW17" s="85"/>
      <c r="BX17" s="85"/>
      <c r="BY17" s="85"/>
      <c r="BZ17" s="85"/>
    </row>
    <row r="18" spans="1:78" ht="12.75">
      <c r="A18" s="100" t="s">
        <v>524</v>
      </c>
      <c r="B18" s="10">
        <v>3093545.973</v>
      </c>
      <c r="C18" s="10">
        <v>3088805.12</v>
      </c>
      <c r="D18" s="10">
        <v>1692395.276</v>
      </c>
      <c r="E18" s="10">
        <v>1595154.713</v>
      </c>
      <c r="F18" s="10">
        <v>1433274.726</v>
      </c>
      <c r="G18" s="10">
        <v>466301.412</v>
      </c>
      <c r="H18" s="10">
        <v>744721.501</v>
      </c>
      <c r="I18" s="10">
        <v>479111.674</v>
      </c>
      <c r="J18" s="10">
        <v>672241.504</v>
      </c>
      <c r="K18" s="10">
        <v>633636.884</v>
      </c>
      <c r="L18" s="10">
        <v>320266.318</v>
      </c>
      <c r="M18" s="10">
        <v>409425.569</v>
      </c>
      <c r="N18" s="10">
        <v>440232.908</v>
      </c>
      <c r="O18" s="10">
        <v>440771.406</v>
      </c>
      <c r="P18" s="10">
        <v>410696.765</v>
      </c>
      <c r="Q18" s="10">
        <v>371272.193</v>
      </c>
      <c r="R18" s="10">
        <v>481815.922</v>
      </c>
      <c r="S18" s="10">
        <v>296985.262</v>
      </c>
      <c r="T18" s="10">
        <v>202237.282</v>
      </c>
      <c r="U18" s="10">
        <v>2681747.258</v>
      </c>
      <c r="V18" s="10">
        <v>334131.294</v>
      </c>
      <c r="W18" s="10">
        <v>374467.582</v>
      </c>
      <c r="X18" s="10">
        <v>219782.374</v>
      </c>
      <c r="Y18" s="10">
        <v>619875.925</v>
      </c>
      <c r="Z18" s="10">
        <v>222294.15</v>
      </c>
      <c r="AA18" s="10">
        <v>406419.305</v>
      </c>
      <c r="AB18" s="10">
        <v>155126.141</v>
      </c>
      <c r="AC18" s="10">
        <v>110054.389</v>
      </c>
      <c r="AD18" s="10">
        <v>10093.498</v>
      </c>
      <c r="AE18" s="10">
        <v>88348.38</v>
      </c>
      <c r="AF18" s="10">
        <v>57316.472</v>
      </c>
      <c r="AG18" s="10">
        <f>737969.245-36276.8</f>
        <v>701692.445</v>
      </c>
      <c r="AH18" s="10">
        <v>75064.74</v>
      </c>
      <c r="AI18" s="10">
        <v>75384.242</v>
      </c>
      <c r="AJ18" s="10">
        <v>78564.01</v>
      </c>
      <c r="AK18" s="10">
        <v>65562.038</v>
      </c>
      <c r="AL18" s="10">
        <v>54580.284</v>
      </c>
      <c r="AM18" s="10">
        <f>95395.641+12079.952</f>
        <v>107475.59300000001</v>
      </c>
      <c r="AN18" s="10">
        <v>29783.618</v>
      </c>
      <c r="AO18" s="10">
        <v>441304.229</v>
      </c>
      <c r="AP18" s="10">
        <v>56225.104</v>
      </c>
      <c r="AQ18" s="10">
        <v>30339.127</v>
      </c>
      <c r="AR18" s="10">
        <v>83344.002</v>
      </c>
      <c r="AS18" s="10">
        <v>29671.555</v>
      </c>
      <c r="AT18" s="10">
        <v>47151.871</v>
      </c>
      <c r="AU18" s="10">
        <v>570654.074</v>
      </c>
      <c r="AV18" s="10">
        <v>-8.383</v>
      </c>
      <c r="AW18" s="10">
        <v>21361.16</v>
      </c>
      <c r="AX18" s="10">
        <v>392.304</v>
      </c>
      <c r="AY18" s="10">
        <v>10556.013</v>
      </c>
      <c r="AZ18" s="10">
        <v>0</v>
      </c>
      <c r="BA18" s="10">
        <v>0</v>
      </c>
      <c r="BB18" s="10">
        <v>24642.505</v>
      </c>
      <c r="BC18" s="10">
        <v>14309.083</v>
      </c>
      <c r="BD18" s="10">
        <v>8402.492</v>
      </c>
      <c r="BE18" s="10">
        <v>0</v>
      </c>
      <c r="BF18" s="10">
        <v>0</v>
      </c>
      <c r="BG18" s="10">
        <v>144841.839</v>
      </c>
      <c r="BH18" s="10">
        <v>4806.435</v>
      </c>
      <c r="BI18" s="10">
        <v>5856.874</v>
      </c>
      <c r="BJ18" s="10">
        <f>-(9751.452+1940.671+1292.961)+7240.957</f>
        <v>-5744.126999999999</v>
      </c>
      <c r="BK18" s="10">
        <v>11670.302</v>
      </c>
      <c r="BL18" s="10">
        <v>4000</v>
      </c>
      <c r="BM18" s="10">
        <v>0</v>
      </c>
      <c r="BN18" s="10">
        <f>19848.967+124297.669</f>
        <v>144146.636</v>
      </c>
      <c r="BO18" s="10">
        <f>23857.839+2032</f>
        <v>25889.839</v>
      </c>
      <c r="BP18" s="10"/>
      <c r="BQ18" s="10"/>
      <c r="BR18" s="10"/>
      <c r="BS18" s="230">
        <f>SUM(B18:BO18)</f>
        <v>25414469.08</v>
      </c>
      <c r="BT18" s="230">
        <f>SUM(C18+P18+U18+V18+AA18+AD18+AF18+AN18+AP18+AR18+AW18+BB18+BD18+BE18+BH18+BK18+BL18+BN18+BO18)</f>
        <v>7403481.804999999</v>
      </c>
      <c r="BU18" s="230">
        <f>SUM(D18+F18+H18+J18+K18+M18+O18+Q18+S18+X18+AI18+AJ18+AT18)</f>
        <v>7115606.818</v>
      </c>
      <c r="BV18" s="230">
        <f>SUM(B18+E18+G18+I18+L18+N18+R18+T18+AB18+AC18+AE18+AH18+AK18+AL18+AM18+AU18+AV18+AX18+AY18+AZ18+BC18+BF18+BM18)</f>
        <v>8330780.858</v>
      </c>
      <c r="BW18" s="230">
        <f aca="true" t="shared" si="0" ref="BW18:BW29">SUM(BT18:BV18)</f>
        <v>22849869.481</v>
      </c>
      <c r="BX18" s="230">
        <f aca="true" t="shared" si="1" ref="BX18:BX57">SUM(W18+Y18+Z18+AG18+AO18+AQ18+AS18+BA18+BG18+BI18+BJ18)</f>
        <v>2564599.599</v>
      </c>
      <c r="BY18" s="230"/>
      <c r="BZ18" s="230">
        <f aca="true" t="shared" si="2" ref="BZ18:BZ57">SUM(BW18:BX18)</f>
        <v>25414469.08</v>
      </c>
    </row>
    <row r="19" spans="1:78" ht="12.75">
      <c r="A19" s="100" t="s">
        <v>525</v>
      </c>
      <c r="B19" s="10">
        <v>2681806.509</v>
      </c>
      <c r="C19" s="10">
        <v>1713754.608</v>
      </c>
      <c r="D19" s="10">
        <v>1281751.037</v>
      </c>
      <c r="E19" s="10">
        <v>3925931.47</v>
      </c>
      <c r="F19" s="10">
        <v>1826661.375</v>
      </c>
      <c r="G19" s="10">
        <v>850424.169</v>
      </c>
      <c r="H19" s="10">
        <v>608279.29</v>
      </c>
      <c r="I19" s="10">
        <v>732047.704</v>
      </c>
      <c r="J19" s="10">
        <v>368388.571</v>
      </c>
      <c r="K19" s="10">
        <v>406899.988</v>
      </c>
      <c r="L19" s="10">
        <v>335434.918</v>
      </c>
      <c r="M19" s="10">
        <v>317718.97</v>
      </c>
      <c r="N19" s="10">
        <v>348422.273</v>
      </c>
      <c r="O19" s="10">
        <v>201962.134</v>
      </c>
      <c r="P19" s="10">
        <v>251849.414</v>
      </c>
      <c r="Q19" s="10">
        <v>180569.536</v>
      </c>
      <c r="R19" s="10">
        <v>264382.253</v>
      </c>
      <c r="S19" s="10">
        <v>200341.218</v>
      </c>
      <c r="T19" s="10">
        <v>139800.069</v>
      </c>
      <c r="U19" s="10">
        <v>85588.116</v>
      </c>
      <c r="V19" s="10">
        <v>291545.269</v>
      </c>
      <c r="W19" s="10">
        <v>181583.048</v>
      </c>
      <c r="X19" s="10">
        <v>189563.499</v>
      </c>
      <c r="Y19" s="10">
        <v>165821.883</v>
      </c>
      <c r="Z19" s="10">
        <v>122338.148</v>
      </c>
      <c r="AA19" s="10">
        <v>138216.269</v>
      </c>
      <c r="AB19" s="10">
        <v>125864.319</v>
      </c>
      <c r="AC19" s="10">
        <v>164758.976</v>
      </c>
      <c r="AD19" s="10">
        <v>48751.291</v>
      </c>
      <c r="AE19" s="10">
        <v>87854.424</v>
      </c>
      <c r="AF19" s="10">
        <v>50962.634</v>
      </c>
      <c r="AG19" s="10">
        <v>14439.693</v>
      </c>
      <c r="AH19" s="10">
        <v>62124.558</v>
      </c>
      <c r="AI19" s="10">
        <v>32989.525</v>
      </c>
      <c r="AJ19" s="10">
        <v>89401.755</v>
      </c>
      <c r="AK19" s="10">
        <v>27248.339</v>
      </c>
      <c r="AL19" s="10">
        <v>55410.946</v>
      </c>
      <c r="AM19" s="10">
        <v>54334.063</v>
      </c>
      <c r="AN19" s="10">
        <v>48201.615</v>
      </c>
      <c r="AO19" s="10">
        <v>28122.335</v>
      </c>
      <c r="AP19" s="10">
        <v>44663.508</v>
      </c>
      <c r="AQ19" s="10">
        <v>43166.238</v>
      </c>
      <c r="AR19" s="10">
        <v>33214.238</v>
      </c>
      <c r="AS19" s="10">
        <v>18884.781</v>
      </c>
      <c r="AT19" s="10">
        <v>45344.629</v>
      </c>
      <c r="AU19" s="10">
        <v>2341.608</v>
      </c>
      <c r="AV19" s="10">
        <v>74</v>
      </c>
      <c r="AW19" s="10">
        <v>34732.083</v>
      </c>
      <c r="AX19" s="10">
        <v>25315.557</v>
      </c>
      <c r="AY19" s="10">
        <v>22053.262</v>
      </c>
      <c r="AZ19" s="10">
        <v>23482.12</v>
      </c>
      <c r="BA19" s="10">
        <v>14007.382</v>
      </c>
      <c r="BB19" s="10">
        <v>20505.539</v>
      </c>
      <c r="BC19" s="10">
        <v>12342.055</v>
      </c>
      <c r="BD19" s="10">
        <v>15958.009</v>
      </c>
      <c r="BE19" s="10">
        <v>8501.072</v>
      </c>
      <c r="BF19" s="10">
        <v>16690.393</v>
      </c>
      <c r="BG19" s="10">
        <v>4744.914</v>
      </c>
      <c r="BH19" s="10">
        <v>8334.252</v>
      </c>
      <c r="BI19" s="10">
        <v>2031.381</v>
      </c>
      <c r="BJ19" s="10">
        <v>10008.621</v>
      </c>
      <c r="BK19" s="10">
        <v>5159.756</v>
      </c>
      <c r="BL19" s="10">
        <v>94</v>
      </c>
      <c r="BM19" s="10">
        <v>80.524</v>
      </c>
      <c r="BN19" s="10">
        <v>1308.524</v>
      </c>
      <c r="BO19" s="10">
        <v>0</v>
      </c>
      <c r="BP19" s="10"/>
      <c r="BQ19" s="10"/>
      <c r="BR19" s="10"/>
      <c r="BS19" s="230">
        <f aca="true" t="shared" si="3" ref="BS19:BS57">SUM(B19:BO19)</f>
        <v>19114584.657000005</v>
      </c>
      <c r="BT19" s="230">
        <f aca="true" t="shared" si="4" ref="BT19:BT57">SUM(C19+P19+U19+V19+AA19+AD19+AF19+AN19+AP19+AR19+AW19+BB19+BD19+BE19+BH19+BK19+BL19+BN19+BO19)</f>
        <v>2801340.197</v>
      </c>
      <c r="BU19" s="230">
        <f aca="true" t="shared" si="5" ref="BU19:BU57">SUM(D19+F19+H19+J19+K19+M19+O19+Q19+S19+X19+AI19+AJ19+AT19)</f>
        <v>5749871.527</v>
      </c>
      <c r="BV19" s="230">
        <f aca="true" t="shared" si="6" ref="BV19:BV57">SUM(B19+E19+G19+I19+L19+N19+R19+T19+AB19+AC19+AE19+AH19+AK19+AL19+AM19+AU19+AV19+AX19+AY19+AZ19+BC19+BF19+BM19)</f>
        <v>9958224.508999998</v>
      </c>
      <c r="BW19" s="230">
        <f t="shared" si="0"/>
        <v>18509436.232999995</v>
      </c>
      <c r="BX19" s="230">
        <f t="shared" si="1"/>
        <v>605148.424</v>
      </c>
      <c r="BY19" s="230"/>
      <c r="BZ19" s="230">
        <f t="shared" si="2"/>
        <v>19114584.656999994</v>
      </c>
    </row>
    <row r="20" spans="1:78" ht="12.75">
      <c r="A20" s="100" t="s">
        <v>526</v>
      </c>
      <c r="B20" s="10">
        <v>4208.592</v>
      </c>
      <c r="C20" s="10">
        <v>0</v>
      </c>
      <c r="D20" s="10">
        <v>81760.632</v>
      </c>
      <c r="E20" s="10">
        <v>0</v>
      </c>
      <c r="F20" s="10">
        <v>28786.922</v>
      </c>
      <c r="G20" s="10">
        <v>0</v>
      </c>
      <c r="H20" s="10">
        <v>13451.528</v>
      </c>
      <c r="I20" s="10">
        <v>0</v>
      </c>
      <c r="J20" s="10">
        <v>10043.044</v>
      </c>
      <c r="K20" s="10">
        <v>7275.754</v>
      </c>
      <c r="L20" s="10">
        <v>106153.866</v>
      </c>
      <c r="M20" s="10">
        <v>12449.669</v>
      </c>
      <c r="N20" s="10">
        <v>192.69</v>
      </c>
      <c r="O20" s="10">
        <v>11953.465</v>
      </c>
      <c r="P20" s="10">
        <v>0</v>
      </c>
      <c r="Q20" s="10">
        <v>2051.129</v>
      </c>
      <c r="R20" s="10">
        <v>0</v>
      </c>
      <c r="S20" s="10">
        <v>0</v>
      </c>
      <c r="T20" s="10">
        <v>0</v>
      </c>
      <c r="U20" s="10">
        <v>3234.839</v>
      </c>
      <c r="V20" s="10">
        <v>0</v>
      </c>
      <c r="W20" s="10">
        <v>0</v>
      </c>
      <c r="X20" s="10">
        <v>2014.13</v>
      </c>
      <c r="Y20" s="10">
        <v>0</v>
      </c>
      <c r="Z20" s="10">
        <v>0</v>
      </c>
      <c r="AA20" s="10">
        <v>0</v>
      </c>
      <c r="AB20" s="10">
        <v>1843.117</v>
      </c>
      <c r="AC20" s="10">
        <v>0</v>
      </c>
      <c r="AD20" s="10">
        <v>0</v>
      </c>
      <c r="AE20" s="10">
        <v>2259.285</v>
      </c>
      <c r="AF20" s="10">
        <v>0</v>
      </c>
      <c r="AG20" s="10">
        <v>0</v>
      </c>
      <c r="AH20" s="10">
        <v>0</v>
      </c>
      <c r="AI20" s="10">
        <v>935.583</v>
      </c>
      <c r="AJ20" s="10">
        <v>1085.143</v>
      </c>
      <c r="AK20" s="10">
        <v>0</v>
      </c>
      <c r="AL20" s="10">
        <v>0</v>
      </c>
      <c r="AM20" s="10">
        <v>0</v>
      </c>
      <c r="AN20" s="10">
        <v>2847.412</v>
      </c>
      <c r="AO20" s="10">
        <v>0</v>
      </c>
      <c r="AP20" s="10">
        <v>0</v>
      </c>
      <c r="AQ20" s="10">
        <v>0</v>
      </c>
      <c r="AR20" s="10">
        <v>0</v>
      </c>
      <c r="AS20" s="10">
        <v>1574.328</v>
      </c>
      <c r="AT20" s="10">
        <v>1121.833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341.725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131.258</v>
      </c>
      <c r="BP20" s="10"/>
      <c r="BQ20" s="10"/>
      <c r="BR20" s="10"/>
      <c r="BS20" s="230">
        <f t="shared" si="3"/>
        <v>295715.9439999999</v>
      </c>
      <c r="BT20" s="230">
        <f t="shared" si="4"/>
        <v>6213.509</v>
      </c>
      <c r="BU20" s="230">
        <f t="shared" si="5"/>
        <v>172928.83200000002</v>
      </c>
      <c r="BV20" s="230">
        <f t="shared" si="6"/>
        <v>114999.27500000001</v>
      </c>
      <c r="BW20" s="230">
        <f t="shared" si="0"/>
        <v>294141.61600000004</v>
      </c>
      <c r="BX20" s="230">
        <f t="shared" si="1"/>
        <v>1574.328</v>
      </c>
      <c r="BY20" s="230"/>
      <c r="BZ20" s="230">
        <f t="shared" si="2"/>
        <v>295715.944</v>
      </c>
    </row>
    <row r="21" spans="1:78" ht="12.75">
      <c r="A21" s="100" t="s">
        <v>527</v>
      </c>
      <c r="B21" s="10">
        <v>3991577.121</v>
      </c>
      <c r="C21" s="10">
        <v>3480276.566</v>
      </c>
      <c r="D21" s="10">
        <v>5869141.04</v>
      </c>
      <c r="E21" s="10">
        <v>0</v>
      </c>
      <c r="F21" s="10">
        <v>3374848.161</v>
      </c>
      <c r="G21" s="10">
        <v>914858.864</v>
      </c>
      <c r="H21" s="10">
        <v>618035.347</v>
      </c>
      <c r="I21" s="10">
        <v>752259.414</v>
      </c>
      <c r="J21" s="10">
        <v>841940.708</v>
      </c>
      <c r="K21" s="10">
        <v>754841.262</v>
      </c>
      <c r="L21" s="10">
        <v>813029.015</v>
      </c>
      <c r="M21" s="10">
        <v>1728374.588</v>
      </c>
      <c r="N21" s="10">
        <v>1166645.952</v>
      </c>
      <c r="O21" s="10">
        <v>730018.406</v>
      </c>
      <c r="P21" s="10">
        <v>349930.169</v>
      </c>
      <c r="Q21" s="10">
        <v>521593.911</v>
      </c>
      <c r="R21" s="10">
        <v>497931.039</v>
      </c>
      <c r="S21" s="10">
        <v>447842.532</v>
      </c>
      <c r="T21" s="10">
        <v>203664.429</v>
      </c>
      <c r="U21" s="10">
        <v>150392.74</v>
      </c>
      <c r="V21" s="10">
        <v>351776.958</v>
      </c>
      <c r="W21" s="10">
        <v>703902.524</v>
      </c>
      <c r="X21" s="10">
        <v>130509.919</v>
      </c>
      <c r="Y21" s="10">
        <v>130188.318</v>
      </c>
      <c r="Z21" s="10">
        <v>226382.991</v>
      </c>
      <c r="AA21" s="10">
        <v>142486.5</v>
      </c>
      <c r="AB21" s="10">
        <v>125857.623</v>
      </c>
      <c r="AC21" s="10">
        <v>145367.719</v>
      </c>
      <c r="AD21" s="10">
        <v>374820.835</v>
      </c>
      <c r="AE21" s="10">
        <v>257057.204</v>
      </c>
      <c r="AF21" s="10">
        <v>201754.008</v>
      </c>
      <c r="AG21" s="10">
        <v>57531.254</v>
      </c>
      <c r="AH21" s="10">
        <v>51716.082</v>
      </c>
      <c r="AI21" s="10">
        <v>143040.386</v>
      </c>
      <c r="AJ21" s="10">
        <v>35112.156</v>
      </c>
      <c r="AK21" s="10">
        <v>116693.689</v>
      </c>
      <c r="AL21" s="10">
        <v>92731.578</v>
      </c>
      <c r="AM21" s="10">
        <v>151785.306</v>
      </c>
      <c r="AN21" s="10">
        <v>149149.361</v>
      </c>
      <c r="AO21" s="10">
        <v>16660.417</v>
      </c>
      <c r="AP21" s="10">
        <v>100213.341</v>
      </c>
      <c r="AQ21" s="10">
        <v>49119.441</v>
      </c>
      <c r="AR21" s="10">
        <v>67770.445</v>
      </c>
      <c r="AS21" s="10">
        <v>35227.247</v>
      </c>
      <c r="AT21" s="10">
        <v>72799.058</v>
      </c>
      <c r="AU21" s="10">
        <v>1413.462</v>
      </c>
      <c r="AV21" s="10">
        <v>0</v>
      </c>
      <c r="AW21" s="10">
        <v>81109.424</v>
      </c>
      <c r="AX21" s="10">
        <v>66034.805</v>
      </c>
      <c r="AY21" s="10">
        <v>28881.34</v>
      </c>
      <c r="AZ21" s="10">
        <v>46387.401</v>
      </c>
      <c r="BA21" s="10">
        <v>61607.126</v>
      </c>
      <c r="BB21" s="10">
        <v>14052.48</v>
      </c>
      <c r="BC21" s="10">
        <v>34040.417</v>
      </c>
      <c r="BD21" s="10">
        <v>24782.075</v>
      </c>
      <c r="BE21" s="10">
        <v>15382.925</v>
      </c>
      <c r="BF21" s="10">
        <v>24005.968</v>
      </c>
      <c r="BG21" s="10">
        <v>517.349</v>
      </c>
      <c r="BH21" s="10">
        <v>26815.481</v>
      </c>
      <c r="BI21" s="10">
        <v>10349.719</v>
      </c>
      <c r="BJ21" s="10">
        <v>11688.982</v>
      </c>
      <c r="BK21" s="10">
        <v>4563.894</v>
      </c>
      <c r="BL21" s="10">
        <v>0</v>
      </c>
      <c r="BM21" s="10">
        <f>10540.953+914</f>
        <v>11454.953</v>
      </c>
      <c r="BN21" s="10">
        <v>669.472</v>
      </c>
      <c r="BO21" s="10">
        <v>0</v>
      </c>
      <c r="BP21" s="10"/>
      <c r="BQ21" s="10"/>
      <c r="BR21" s="10"/>
      <c r="BS21" s="230">
        <f t="shared" si="3"/>
        <v>31600612.897</v>
      </c>
      <c r="BT21" s="230">
        <f t="shared" si="4"/>
        <v>5535946.674000001</v>
      </c>
      <c r="BU21" s="230">
        <f t="shared" si="5"/>
        <v>15268097.473999998</v>
      </c>
      <c r="BV21" s="230">
        <f t="shared" si="6"/>
        <v>9493393.380999997</v>
      </c>
      <c r="BW21" s="230">
        <f t="shared" si="0"/>
        <v>30297437.528999995</v>
      </c>
      <c r="BX21" s="230">
        <f t="shared" si="1"/>
        <v>1303175.3679999998</v>
      </c>
      <c r="BY21" s="230"/>
      <c r="BZ21" s="230">
        <f t="shared" si="2"/>
        <v>31600612.896999996</v>
      </c>
    </row>
    <row r="22" spans="1:78" ht="12.75">
      <c r="A22" s="100" t="s">
        <v>584</v>
      </c>
      <c r="B22" s="10">
        <v>373893.47</v>
      </c>
      <c r="C22" s="10">
        <v>0</v>
      </c>
      <c r="D22" s="10">
        <v>867020.619</v>
      </c>
      <c r="E22" s="10">
        <v>7827.769</v>
      </c>
      <c r="F22" s="10">
        <v>0</v>
      </c>
      <c r="G22" s="10">
        <v>78276.006</v>
      </c>
      <c r="H22" s="10">
        <f>160013.007+276769.095</f>
        <v>436782.10199999996</v>
      </c>
      <c r="I22" s="10">
        <v>132661.995</v>
      </c>
      <c r="J22" s="10">
        <v>281834.775</v>
      </c>
      <c r="K22" s="10">
        <v>91227.508</v>
      </c>
      <c r="L22" s="10">
        <v>0</v>
      </c>
      <c r="M22" s="10">
        <v>23092.515</v>
      </c>
      <c r="N22" s="10">
        <v>59285.868</v>
      </c>
      <c r="O22" s="10">
        <v>41968.259</v>
      </c>
      <c r="P22" s="10">
        <v>0</v>
      </c>
      <c r="Q22" s="10">
        <v>18244.564</v>
      </c>
      <c r="R22" s="10">
        <v>0</v>
      </c>
      <c r="S22" s="10">
        <v>98390.866</v>
      </c>
      <c r="T22" s="10">
        <v>0</v>
      </c>
      <c r="U22" s="10">
        <v>0</v>
      </c>
      <c r="V22" s="10">
        <v>0</v>
      </c>
      <c r="W22" s="10">
        <v>100674.854</v>
      </c>
      <c r="X22" s="10">
        <v>525</v>
      </c>
      <c r="Y22" s="10">
        <v>512440.554</v>
      </c>
      <c r="Z22" s="10">
        <v>135847.436</v>
      </c>
      <c r="AA22" s="10">
        <v>0</v>
      </c>
      <c r="AB22" s="10">
        <v>18087.78</v>
      </c>
      <c r="AC22" s="10">
        <v>0</v>
      </c>
      <c r="AD22" s="10">
        <v>0</v>
      </c>
      <c r="AE22" s="10">
        <v>221898.88</v>
      </c>
      <c r="AF22" s="10">
        <v>64372.71</v>
      </c>
      <c r="AG22" s="10">
        <v>62910.263</v>
      </c>
      <c r="AH22" s="10">
        <v>14168.23</v>
      </c>
      <c r="AI22" s="10">
        <v>20170.264</v>
      </c>
      <c r="AJ22" s="10">
        <v>0</v>
      </c>
      <c r="AK22" s="10">
        <v>131344.902</v>
      </c>
      <c r="AL22" s="10">
        <v>7319.624</v>
      </c>
      <c r="AM22" s="10">
        <v>137645.808</v>
      </c>
      <c r="AN22" s="10">
        <v>0</v>
      </c>
      <c r="AO22" s="10">
        <v>251470.276</v>
      </c>
      <c r="AP22" s="10">
        <v>0</v>
      </c>
      <c r="AQ22" s="10">
        <v>49262.361</v>
      </c>
      <c r="AR22" s="10">
        <v>1068.307</v>
      </c>
      <c r="AS22" s="10">
        <v>28477.247</v>
      </c>
      <c r="AT22" s="10">
        <v>0</v>
      </c>
      <c r="AU22" s="10">
        <v>0</v>
      </c>
      <c r="AV22" s="10">
        <v>69811.574</v>
      </c>
      <c r="AW22" s="10">
        <v>0</v>
      </c>
      <c r="AX22" s="10">
        <v>0</v>
      </c>
      <c r="AY22" s="10">
        <v>2500</v>
      </c>
      <c r="AZ22" s="10">
        <v>0</v>
      </c>
      <c r="BA22" s="10">
        <f>7728.892+25360.629</f>
        <v>33089.521</v>
      </c>
      <c r="BB22" s="10">
        <v>0</v>
      </c>
      <c r="BC22" s="10">
        <v>268</v>
      </c>
      <c r="BD22" s="10">
        <v>0</v>
      </c>
      <c r="BE22" s="10">
        <v>0</v>
      </c>
      <c r="BF22" s="10">
        <v>0</v>
      </c>
      <c r="BG22" s="10">
        <v>2899.808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/>
      <c r="BQ22" s="10"/>
      <c r="BR22" s="10"/>
      <c r="BS22" s="230">
        <f t="shared" si="3"/>
        <v>4376759.714999999</v>
      </c>
      <c r="BT22" s="230">
        <f t="shared" si="4"/>
        <v>65441.017</v>
      </c>
      <c r="BU22" s="230">
        <f t="shared" si="5"/>
        <v>1879256.4719999996</v>
      </c>
      <c r="BV22" s="230">
        <f t="shared" si="6"/>
        <v>1254989.906</v>
      </c>
      <c r="BW22" s="230">
        <f t="shared" si="0"/>
        <v>3199687.3949999996</v>
      </c>
      <c r="BX22" s="230">
        <f t="shared" si="1"/>
        <v>1177072.32</v>
      </c>
      <c r="BY22" s="230"/>
      <c r="BZ22" s="230">
        <f t="shared" si="2"/>
        <v>4376759.715</v>
      </c>
    </row>
    <row r="23" spans="1:78" ht="12.75">
      <c r="A23" s="100" t="s">
        <v>585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f>1339684.161+291934.023+1165204.123</f>
        <v>2796822.307</v>
      </c>
      <c r="I23" s="10">
        <v>0</v>
      </c>
      <c r="J23" s="10">
        <v>0</v>
      </c>
      <c r="K23" s="10">
        <v>607860.568</v>
      </c>
      <c r="L23" s="10">
        <f>825038.603+2054388.502</f>
        <v>2879427.105</v>
      </c>
      <c r="M23" s="10">
        <v>0</v>
      </c>
      <c r="N23" s="10">
        <v>0</v>
      </c>
      <c r="O23" s="10">
        <v>1146937.978</v>
      </c>
      <c r="P23" s="10">
        <v>0</v>
      </c>
      <c r="Q23" s="10">
        <v>57281.316</v>
      </c>
      <c r="R23" s="10">
        <v>0</v>
      </c>
      <c r="S23" s="10">
        <v>52872.708</v>
      </c>
      <c r="T23" s="10">
        <v>535079.035</v>
      </c>
      <c r="U23" s="10">
        <v>26442</v>
      </c>
      <c r="V23" s="10">
        <v>0</v>
      </c>
      <c r="W23" s="10">
        <v>615853.527</v>
      </c>
      <c r="X23" s="10">
        <v>41195.343</v>
      </c>
      <c r="Y23" s="10">
        <v>2198071.615</v>
      </c>
      <c r="Z23" s="10">
        <v>195148.912</v>
      </c>
      <c r="AA23" s="10">
        <v>0</v>
      </c>
      <c r="AB23" s="10">
        <v>92216.261</v>
      </c>
      <c r="AC23" s="10">
        <v>40541.291</v>
      </c>
      <c r="AD23" s="10">
        <v>179692.9</v>
      </c>
      <c r="AE23" s="10">
        <v>0</v>
      </c>
      <c r="AF23" s="10">
        <v>60822.55</v>
      </c>
      <c r="AG23" s="10">
        <v>1378697.048</v>
      </c>
      <c r="AH23" s="10">
        <v>191001.585</v>
      </c>
      <c r="AI23" s="10">
        <v>149418.308</v>
      </c>
      <c r="AJ23" s="10">
        <v>0</v>
      </c>
      <c r="AK23" s="10">
        <v>40080.935</v>
      </c>
      <c r="AL23" s="10">
        <v>80562.679</v>
      </c>
      <c r="AM23" s="10">
        <v>130242.7</v>
      </c>
      <c r="AN23" s="10">
        <v>0</v>
      </c>
      <c r="AO23" s="10">
        <v>100166.284</v>
      </c>
      <c r="AP23" s="10">
        <v>0</v>
      </c>
      <c r="AQ23" s="10">
        <v>84510.439</v>
      </c>
      <c r="AR23" s="10">
        <v>7538.563</v>
      </c>
      <c r="AS23" s="10">
        <v>333690.976</v>
      </c>
      <c r="AT23" s="10">
        <v>0</v>
      </c>
      <c r="AU23" s="10">
        <v>0</v>
      </c>
      <c r="AV23" s="10">
        <v>180984.903</v>
      </c>
      <c r="AW23" s="10">
        <v>0</v>
      </c>
      <c r="AX23" s="10">
        <v>0</v>
      </c>
      <c r="AY23" s="10">
        <v>67239.857</v>
      </c>
      <c r="AZ23" s="10">
        <v>0</v>
      </c>
      <c r="BA23" s="10">
        <v>53874.454</v>
      </c>
      <c r="BB23" s="10">
        <v>0</v>
      </c>
      <c r="BC23" s="10">
        <v>33290.601</v>
      </c>
      <c r="BD23" s="10">
        <v>0</v>
      </c>
      <c r="BE23" s="10">
        <v>0</v>
      </c>
      <c r="BF23" s="10">
        <v>0</v>
      </c>
      <c r="BG23" s="10">
        <v>231305.304</v>
      </c>
      <c r="BH23" s="10">
        <v>0</v>
      </c>
      <c r="BI23" s="10">
        <v>0</v>
      </c>
      <c r="BJ23" s="10">
        <v>0</v>
      </c>
      <c r="BK23" s="10">
        <v>0</v>
      </c>
      <c r="BL23" s="10">
        <v>8356</v>
      </c>
      <c r="BM23" s="10">
        <v>0</v>
      </c>
      <c r="BN23" s="10">
        <v>0</v>
      </c>
      <c r="BO23" s="10">
        <v>0</v>
      </c>
      <c r="BP23" s="10"/>
      <c r="BQ23" s="10"/>
      <c r="BR23" s="10"/>
      <c r="BS23" s="230">
        <f t="shared" si="3"/>
        <v>14597226.052000001</v>
      </c>
      <c r="BT23" s="230">
        <f t="shared" si="4"/>
        <v>282852.01300000004</v>
      </c>
      <c r="BU23" s="230">
        <f t="shared" si="5"/>
        <v>4852388.528</v>
      </c>
      <c r="BV23" s="230">
        <f t="shared" si="6"/>
        <v>4270666.9520000005</v>
      </c>
      <c r="BW23" s="230">
        <f t="shared" si="0"/>
        <v>9405907.493</v>
      </c>
      <c r="BX23" s="230">
        <f t="shared" si="1"/>
        <v>5191318.559</v>
      </c>
      <c r="BY23" s="230"/>
      <c r="BZ23" s="230">
        <f t="shared" si="2"/>
        <v>14597226.052000001</v>
      </c>
    </row>
    <row r="24" spans="1:78" ht="12.75">
      <c r="A24" s="100" t="s">
        <v>528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39842.677</v>
      </c>
      <c r="R24" s="10">
        <v>0</v>
      </c>
      <c r="S24" s="10">
        <v>18678.648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17392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/>
      <c r="BQ24" s="10"/>
      <c r="BR24" s="10"/>
      <c r="BS24" s="230">
        <f t="shared" si="3"/>
        <v>75913.32500000001</v>
      </c>
      <c r="BT24" s="230">
        <f t="shared" si="4"/>
        <v>0</v>
      </c>
      <c r="BU24" s="230">
        <f t="shared" si="5"/>
        <v>58521.325000000004</v>
      </c>
      <c r="BV24" s="230">
        <f t="shared" si="6"/>
        <v>17392</v>
      </c>
      <c r="BW24" s="230">
        <f t="shared" si="0"/>
        <v>75913.32500000001</v>
      </c>
      <c r="BX24" s="230">
        <f t="shared" si="1"/>
        <v>0</v>
      </c>
      <c r="BY24" s="230"/>
      <c r="BZ24" s="230">
        <f t="shared" si="2"/>
        <v>75913.32500000001</v>
      </c>
    </row>
    <row r="25" spans="1:78" ht="12.75">
      <c r="A25" s="100" t="s">
        <v>529</v>
      </c>
      <c r="B25" s="10">
        <v>13000</v>
      </c>
      <c r="C25" s="10">
        <v>0</v>
      </c>
      <c r="D25" s="10">
        <v>86441.318</v>
      </c>
      <c r="E25" s="10">
        <v>0</v>
      </c>
      <c r="F25" s="10">
        <v>0</v>
      </c>
      <c r="G25" s="10">
        <v>0</v>
      </c>
      <c r="H25" s="10">
        <v>0</v>
      </c>
      <c r="I25" s="10">
        <v>41202.75</v>
      </c>
      <c r="J25" s="10">
        <v>0</v>
      </c>
      <c r="K25" s="10">
        <v>78733.79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7804.757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399.71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/>
      <c r="BQ25" s="10"/>
      <c r="BR25" s="10"/>
      <c r="BS25" s="230">
        <f t="shared" si="3"/>
        <v>227582.325</v>
      </c>
      <c r="BT25" s="230">
        <f t="shared" si="4"/>
        <v>399.71</v>
      </c>
      <c r="BU25" s="230">
        <f t="shared" si="5"/>
        <v>165175.108</v>
      </c>
      <c r="BV25" s="230">
        <f t="shared" si="6"/>
        <v>54202.75</v>
      </c>
      <c r="BW25" s="230">
        <f t="shared" si="0"/>
        <v>219777.568</v>
      </c>
      <c r="BX25" s="230">
        <f t="shared" si="1"/>
        <v>7804.757</v>
      </c>
      <c r="BY25" s="230"/>
      <c r="BZ25" s="230">
        <f t="shared" si="2"/>
        <v>227582.325</v>
      </c>
    </row>
    <row r="26" spans="1:78" ht="12.75">
      <c r="A26" s="100" t="s">
        <v>530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11294.921</v>
      </c>
      <c r="K26" s="10">
        <v>0</v>
      </c>
      <c r="L26" s="10">
        <v>0</v>
      </c>
      <c r="M26" s="10">
        <v>0</v>
      </c>
      <c r="N26" s="10">
        <v>0</v>
      </c>
      <c r="O26" s="10">
        <v>4969.975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884.921</v>
      </c>
      <c r="AH26" s="10">
        <v>0</v>
      </c>
      <c r="AI26" s="10">
        <v>0</v>
      </c>
      <c r="AJ26" s="10">
        <v>0</v>
      </c>
      <c r="AK26" s="10">
        <v>41.388</v>
      </c>
      <c r="AL26" s="10">
        <v>0</v>
      </c>
      <c r="AM26" s="10">
        <v>591.865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-3.5</v>
      </c>
      <c r="AT26" s="10">
        <v>0</v>
      </c>
      <c r="AU26" s="10">
        <v>0</v>
      </c>
      <c r="AV26" s="10">
        <v>24.263</v>
      </c>
      <c r="AW26" s="10">
        <v>0</v>
      </c>
      <c r="AX26" s="10">
        <v>0</v>
      </c>
      <c r="AY26" s="10">
        <v>197.601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33.926</v>
      </c>
      <c r="BF26" s="10">
        <v>0</v>
      </c>
      <c r="BG26" s="10">
        <v>0</v>
      </c>
      <c r="BH26" s="10">
        <v>1090.194</v>
      </c>
      <c r="BI26" s="10">
        <v>0</v>
      </c>
      <c r="BJ26" s="10">
        <v>0</v>
      </c>
      <c r="BK26" s="10">
        <v>0</v>
      </c>
      <c r="BL26" s="10">
        <v>-5303</v>
      </c>
      <c r="BM26" s="10">
        <v>0</v>
      </c>
      <c r="BN26" s="10">
        <v>74.449</v>
      </c>
      <c r="BO26" s="10">
        <v>0</v>
      </c>
      <c r="BP26" s="10"/>
      <c r="BQ26" s="10"/>
      <c r="BR26" s="10"/>
      <c r="BS26" s="230">
        <f t="shared" si="3"/>
        <v>13897.002999999997</v>
      </c>
      <c r="BT26" s="230">
        <f t="shared" si="4"/>
        <v>-4104.4310000000005</v>
      </c>
      <c r="BU26" s="230">
        <f t="shared" si="5"/>
        <v>16264.896</v>
      </c>
      <c r="BV26" s="230">
        <f t="shared" si="6"/>
        <v>855.1170000000001</v>
      </c>
      <c r="BW26" s="230">
        <f t="shared" si="0"/>
        <v>13015.582</v>
      </c>
      <c r="BX26" s="230">
        <f t="shared" si="1"/>
        <v>881.421</v>
      </c>
      <c r="BY26" s="230"/>
      <c r="BZ26" s="230">
        <f t="shared" si="2"/>
        <v>13897.003</v>
      </c>
    </row>
    <row r="27" spans="1:78" ht="12.75">
      <c r="A27" s="100" t="s">
        <v>616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/>
      <c r="BQ27" s="10"/>
      <c r="BR27" s="10"/>
      <c r="BS27" s="230">
        <f t="shared" si="3"/>
        <v>0</v>
      </c>
      <c r="BT27" s="230">
        <f t="shared" si="4"/>
        <v>0</v>
      </c>
      <c r="BU27" s="230">
        <f t="shared" si="5"/>
        <v>0</v>
      </c>
      <c r="BV27" s="230">
        <f t="shared" si="6"/>
        <v>0</v>
      </c>
      <c r="BW27" s="230">
        <f t="shared" si="0"/>
        <v>0</v>
      </c>
      <c r="BX27" s="230">
        <f t="shared" si="1"/>
        <v>0</v>
      </c>
      <c r="BY27" s="230"/>
      <c r="BZ27" s="230">
        <f t="shared" si="2"/>
        <v>0</v>
      </c>
    </row>
    <row r="28" spans="1:78" ht="12.75">
      <c r="A28" s="100" t="s">
        <v>531</v>
      </c>
      <c r="B28" s="10">
        <v>79474.366</v>
      </c>
      <c r="C28" s="10">
        <v>0</v>
      </c>
      <c r="D28" s="10">
        <v>303826.663</v>
      </c>
      <c r="E28" s="10">
        <v>4879.867</v>
      </c>
      <c r="F28" s="10">
        <v>5698.062</v>
      </c>
      <c r="G28" s="10">
        <v>0</v>
      </c>
      <c r="H28" s="10">
        <v>25127.981</v>
      </c>
      <c r="I28" s="10">
        <v>46519.417</v>
      </c>
      <c r="J28" s="10">
        <v>0</v>
      </c>
      <c r="K28" s="10">
        <v>5978.001</v>
      </c>
      <c r="L28" s="10">
        <v>0</v>
      </c>
      <c r="M28" s="10">
        <v>52824.504</v>
      </c>
      <c r="N28" s="10">
        <v>1474.076</v>
      </c>
      <c r="O28" s="10">
        <v>15402.215</v>
      </c>
      <c r="P28" s="10">
        <v>141.5</v>
      </c>
      <c r="Q28" s="10">
        <v>5257.637</v>
      </c>
      <c r="R28" s="10">
        <v>7292.07</v>
      </c>
      <c r="S28" s="10">
        <v>327.621</v>
      </c>
      <c r="T28" s="10">
        <v>686.743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8933.746</v>
      </c>
      <c r="AB28" s="10">
        <v>0</v>
      </c>
      <c r="AC28" s="10">
        <v>0</v>
      </c>
      <c r="AD28" s="10">
        <v>0</v>
      </c>
      <c r="AE28" s="10">
        <v>7871.801</v>
      </c>
      <c r="AF28" s="10">
        <v>22.844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13.734</v>
      </c>
      <c r="AN28" s="10">
        <v>823.652</v>
      </c>
      <c r="AO28" s="10">
        <v>40000.831</v>
      </c>
      <c r="AP28" s="10">
        <v>0</v>
      </c>
      <c r="AQ28" s="10">
        <v>238.77</v>
      </c>
      <c r="AR28" s="10">
        <v>0</v>
      </c>
      <c r="AS28" s="10">
        <v>0</v>
      </c>
      <c r="AT28" s="10">
        <v>0</v>
      </c>
      <c r="AU28" s="10">
        <v>0</v>
      </c>
      <c r="AV28" s="10">
        <v>688.11</v>
      </c>
      <c r="AW28" s="10">
        <v>0</v>
      </c>
      <c r="AX28" s="10">
        <v>10.202</v>
      </c>
      <c r="AY28" s="10">
        <v>4183.34</v>
      </c>
      <c r="AZ28" s="10">
        <v>0</v>
      </c>
      <c r="BA28" s="10">
        <v>0</v>
      </c>
      <c r="BB28" s="10">
        <v>0</v>
      </c>
      <c r="BC28" s="10">
        <v>2415.554</v>
      </c>
      <c r="BD28" s="10">
        <v>0</v>
      </c>
      <c r="BE28" s="10">
        <v>85177.564</v>
      </c>
      <c r="BF28" s="10">
        <v>6800</v>
      </c>
      <c r="BG28" s="10">
        <v>0</v>
      </c>
      <c r="BH28" s="10">
        <v>0</v>
      </c>
      <c r="BI28" s="10">
        <v>32.769</v>
      </c>
      <c r="BJ28" s="10">
        <v>344.976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/>
      <c r="BQ28" s="10"/>
      <c r="BR28" s="10"/>
      <c r="BS28" s="230">
        <f t="shared" si="3"/>
        <v>712468.6160000002</v>
      </c>
      <c r="BT28" s="230">
        <f t="shared" si="4"/>
        <v>95099.306</v>
      </c>
      <c r="BU28" s="230">
        <f t="shared" si="5"/>
        <v>414442.684</v>
      </c>
      <c r="BV28" s="230">
        <f t="shared" si="6"/>
        <v>162309.27999999997</v>
      </c>
      <c r="BW28" s="230">
        <f t="shared" si="0"/>
        <v>671851.27</v>
      </c>
      <c r="BX28" s="230">
        <f t="shared" si="1"/>
        <v>40617.346</v>
      </c>
      <c r="BY28" s="230"/>
      <c r="BZ28" s="230">
        <f t="shared" si="2"/>
        <v>712468.616</v>
      </c>
    </row>
    <row r="29" spans="1:78" ht="12.75">
      <c r="A29" s="244" t="s">
        <v>532</v>
      </c>
      <c r="B29" s="226">
        <f>SUM(B18:B28)</f>
        <v>10237506.031000001</v>
      </c>
      <c r="C29" s="226">
        <f aca="true" t="shared" si="7" ref="C29:AR29">SUM(C18:C28)</f>
        <v>8282836.294</v>
      </c>
      <c r="D29" s="226">
        <f t="shared" si="7"/>
        <v>10182336.584999999</v>
      </c>
      <c r="E29" s="226">
        <f t="shared" si="7"/>
        <v>5533793.819</v>
      </c>
      <c r="F29" s="226">
        <f t="shared" si="7"/>
        <v>6669269.245999999</v>
      </c>
      <c r="G29" s="226">
        <f t="shared" si="7"/>
        <v>2309860.451</v>
      </c>
      <c r="H29" s="226">
        <f t="shared" si="7"/>
        <v>5243220.056</v>
      </c>
      <c r="I29" s="226">
        <f t="shared" si="7"/>
        <v>2183802.954</v>
      </c>
      <c r="J29" s="226">
        <f t="shared" si="7"/>
        <v>2185743.523</v>
      </c>
      <c r="K29" s="226">
        <f>SUM(K18:K28)</f>
        <v>2586453.755</v>
      </c>
      <c r="L29" s="226">
        <f t="shared" si="7"/>
        <v>4454311.222</v>
      </c>
      <c r="M29" s="226">
        <f t="shared" si="7"/>
        <v>2543885.8150000004</v>
      </c>
      <c r="N29" s="226">
        <f aca="true" t="shared" si="8" ref="N29:Z29">SUM(N18:N28)</f>
        <v>2016253.7669999998</v>
      </c>
      <c r="O29" s="226">
        <f t="shared" si="8"/>
        <v>2593983.838</v>
      </c>
      <c r="P29" s="226">
        <f t="shared" si="8"/>
        <v>1012617.848</v>
      </c>
      <c r="Q29" s="226">
        <f t="shared" si="8"/>
        <v>1196112.9630000002</v>
      </c>
      <c r="R29" s="226">
        <f t="shared" si="8"/>
        <v>1251421.2840000002</v>
      </c>
      <c r="S29" s="226">
        <f t="shared" si="8"/>
        <v>1115438.8550000002</v>
      </c>
      <c r="T29" s="226">
        <f t="shared" si="8"/>
        <v>1081467.558</v>
      </c>
      <c r="U29" s="226">
        <f t="shared" si="8"/>
        <v>2947404.9529999997</v>
      </c>
      <c r="V29" s="226">
        <f t="shared" si="8"/>
        <v>977453.521</v>
      </c>
      <c r="W29" s="226">
        <f t="shared" si="8"/>
        <v>1984286.2920000001</v>
      </c>
      <c r="X29" s="226">
        <f t="shared" si="8"/>
        <v>583590.265</v>
      </c>
      <c r="Y29" s="226">
        <f t="shared" si="8"/>
        <v>3626398.2950000004</v>
      </c>
      <c r="Z29" s="226">
        <f t="shared" si="8"/>
        <v>902011.637</v>
      </c>
      <c r="AA29" s="226">
        <f t="shared" si="7"/>
        <v>696055.8200000001</v>
      </c>
      <c r="AB29" s="226">
        <f>SUM(AB18:AB28)</f>
        <v>518995.2410000001</v>
      </c>
      <c r="AC29" s="226">
        <f>SUM(AC18:AC28)</f>
        <v>460722.375</v>
      </c>
      <c r="AD29" s="226">
        <f>SUM(AD18:AD28)</f>
        <v>613358.524</v>
      </c>
      <c r="AE29" s="226">
        <f>SUM(AE18:AE28)</f>
        <v>682681.9739999999</v>
      </c>
      <c r="AF29" s="226">
        <f t="shared" si="7"/>
        <v>435251.218</v>
      </c>
      <c r="AG29" s="226">
        <f>SUM(AG18:AG28)</f>
        <v>2216155.624</v>
      </c>
      <c r="AH29" s="226">
        <f t="shared" si="7"/>
        <v>394075.195</v>
      </c>
      <c r="AI29" s="226">
        <f t="shared" si="7"/>
        <v>421938.30799999996</v>
      </c>
      <c r="AJ29" s="226">
        <f t="shared" si="7"/>
        <v>204163.064</v>
      </c>
      <c r="AK29" s="226">
        <f t="shared" si="7"/>
        <v>380971.29099999997</v>
      </c>
      <c r="AL29" s="226">
        <f t="shared" si="7"/>
        <v>290605.11100000003</v>
      </c>
      <c r="AM29" s="226">
        <f t="shared" si="7"/>
        <v>582089.069</v>
      </c>
      <c r="AN29" s="226">
        <f t="shared" si="7"/>
        <v>230805.658</v>
      </c>
      <c r="AO29" s="226">
        <f>SUM(AO18:AO28)</f>
        <v>877724.372</v>
      </c>
      <c r="AP29" s="226">
        <f t="shared" si="7"/>
        <v>201101.95299999998</v>
      </c>
      <c r="AQ29" s="226">
        <f>SUM(AQ18:AQ28)</f>
        <v>256636.37599999996</v>
      </c>
      <c r="AR29" s="226">
        <f t="shared" si="7"/>
        <v>192935.555</v>
      </c>
      <c r="AS29" s="226">
        <f aca="true" t="shared" si="9" ref="AS29:BO29">SUM(AS18:AS28)</f>
        <v>447522.634</v>
      </c>
      <c r="AT29" s="226">
        <f t="shared" si="9"/>
        <v>166417.391</v>
      </c>
      <c r="AU29" s="226">
        <f>SUM(AU18:AU28)</f>
        <v>574409.1440000001</v>
      </c>
      <c r="AV29" s="226">
        <f t="shared" si="9"/>
        <v>251574.46699999998</v>
      </c>
      <c r="AW29" s="226">
        <f t="shared" si="9"/>
        <v>137202.66700000002</v>
      </c>
      <c r="AX29" s="226">
        <f t="shared" si="9"/>
        <v>91752.868</v>
      </c>
      <c r="AY29" s="226">
        <f t="shared" si="9"/>
        <v>135611.413</v>
      </c>
      <c r="AZ29" s="226">
        <f t="shared" si="9"/>
        <v>69869.521</v>
      </c>
      <c r="BA29" s="226">
        <f t="shared" si="9"/>
        <v>162578.483</v>
      </c>
      <c r="BB29" s="226">
        <f t="shared" si="9"/>
        <v>59200.524000000005</v>
      </c>
      <c r="BC29" s="226">
        <f t="shared" si="9"/>
        <v>96665.71</v>
      </c>
      <c r="BD29" s="226">
        <f t="shared" si="9"/>
        <v>49142.576</v>
      </c>
      <c r="BE29" s="226">
        <f t="shared" si="9"/>
        <v>109495.197</v>
      </c>
      <c r="BF29" s="226">
        <f>SUM(BF18:BF28)</f>
        <v>47838.085999999996</v>
      </c>
      <c r="BG29" s="226">
        <f t="shared" si="9"/>
        <v>384309.214</v>
      </c>
      <c r="BH29" s="226">
        <f t="shared" si="9"/>
        <v>41046.36200000001</v>
      </c>
      <c r="BI29" s="226">
        <f t="shared" si="9"/>
        <v>18270.743</v>
      </c>
      <c r="BJ29" s="226">
        <f t="shared" si="9"/>
        <v>16298.452000000001</v>
      </c>
      <c r="BK29" s="226">
        <f t="shared" si="9"/>
        <v>21393.952</v>
      </c>
      <c r="BL29" s="226">
        <f t="shared" si="9"/>
        <v>7147</v>
      </c>
      <c r="BM29" s="226">
        <f t="shared" si="9"/>
        <v>11535.476999999999</v>
      </c>
      <c r="BN29" s="226">
        <f t="shared" si="9"/>
        <v>146199.081</v>
      </c>
      <c r="BO29" s="226">
        <f t="shared" si="9"/>
        <v>26021.097</v>
      </c>
      <c r="BP29" s="226"/>
      <c r="BQ29" s="226"/>
      <c r="BR29" s="226"/>
      <c r="BS29" s="230">
        <f t="shared" si="3"/>
        <v>96429229.61399998</v>
      </c>
      <c r="BT29" s="230">
        <f t="shared" si="4"/>
        <v>16186669.799999997</v>
      </c>
      <c r="BU29" s="230">
        <f t="shared" si="5"/>
        <v>35692553.664000005</v>
      </c>
      <c r="BV29" s="230">
        <f t="shared" si="6"/>
        <v>33657814.028000005</v>
      </c>
      <c r="BW29" s="230">
        <f t="shared" si="0"/>
        <v>85537037.49200001</v>
      </c>
      <c r="BX29" s="230">
        <f t="shared" si="1"/>
        <v>10892192.122</v>
      </c>
      <c r="BY29" s="230"/>
      <c r="BZ29" s="230">
        <f t="shared" si="2"/>
        <v>96429229.61400001</v>
      </c>
    </row>
    <row r="30" spans="1:78" ht="12.75">
      <c r="A30" s="98"/>
      <c r="BS30" s="230"/>
      <c r="BT30" s="230"/>
      <c r="BU30" s="230"/>
      <c r="BV30" s="230"/>
      <c r="BW30" s="230"/>
      <c r="BX30" s="230"/>
      <c r="BY30" s="230"/>
      <c r="BZ30" s="230"/>
    </row>
    <row r="31" spans="1:78" ht="12.75">
      <c r="A31" s="245" t="s">
        <v>533</v>
      </c>
      <c r="B31" s="12"/>
      <c r="C31" s="12"/>
      <c r="D31" s="12"/>
      <c r="E31" s="12"/>
      <c r="F31" s="13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2"/>
      <c r="R31" s="12"/>
      <c r="S31" s="13"/>
      <c r="T31" s="12"/>
      <c r="U31" s="13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3"/>
      <c r="AH31" s="12"/>
      <c r="AI31" s="13"/>
      <c r="AJ31" s="12"/>
      <c r="AK31" s="12"/>
      <c r="AL31" s="12"/>
      <c r="AM31" s="12"/>
      <c r="AN31" s="12"/>
      <c r="AO31" s="12"/>
      <c r="AP31" s="13"/>
      <c r="AQ31" s="12"/>
      <c r="AR31" s="12"/>
      <c r="AS31" s="12"/>
      <c r="AT31" s="12"/>
      <c r="AU31" s="12"/>
      <c r="AV31" s="13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3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230"/>
      <c r="BT31" s="230"/>
      <c r="BU31" s="230"/>
      <c r="BV31" s="230"/>
      <c r="BW31" s="230"/>
      <c r="BX31" s="230"/>
      <c r="BY31" s="230"/>
      <c r="BZ31" s="230"/>
    </row>
    <row r="32" spans="1:78" ht="12.75">
      <c r="A32" s="100" t="s">
        <v>491</v>
      </c>
      <c r="B32" s="12">
        <v>1002960.3</v>
      </c>
      <c r="C32" s="12">
        <v>3676971.805</v>
      </c>
      <c r="D32" s="12">
        <v>1113858.386</v>
      </c>
      <c r="E32" s="12">
        <v>707184.824</v>
      </c>
      <c r="F32" s="12">
        <v>720518.638</v>
      </c>
      <c r="G32" s="12">
        <v>64695.309</v>
      </c>
      <c r="H32" s="12">
        <v>332505.179</v>
      </c>
      <c r="I32" s="12">
        <v>517156.485</v>
      </c>
      <c r="J32" s="12">
        <v>194828.327</v>
      </c>
      <c r="K32" s="12">
        <v>95487.595</v>
      </c>
      <c r="L32" s="12">
        <v>454892.901</v>
      </c>
      <c r="M32" s="12">
        <v>177426.939</v>
      </c>
      <c r="N32" s="12">
        <v>57261.749</v>
      </c>
      <c r="O32" s="12">
        <v>235290.979</v>
      </c>
      <c r="P32" s="12">
        <v>256786.054</v>
      </c>
      <c r="Q32" s="12">
        <v>156160.503</v>
      </c>
      <c r="R32" s="12">
        <v>45370.826</v>
      </c>
      <c r="S32" s="12">
        <v>164775.548</v>
      </c>
      <c r="T32" s="12">
        <f>112129.682+520.176</f>
        <v>112649.85800000001</v>
      </c>
      <c r="U32" s="12">
        <v>123746.692</v>
      </c>
      <c r="V32" s="12">
        <v>234278.909</v>
      </c>
      <c r="W32" s="12">
        <v>22569.305</v>
      </c>
      <c r="X32" s="12">
        <v>88606.357</v>
      </c>
      <c r="Y32" s="12">
        <v>22265.768</v>
      </c>
      <c r="Z32" s="12">
        <v>9219.84</v>
      </c>
      <c r="AA32" s="12">
        <v>563299.367</v>
      </c>
      <c r="AB32" s="12">
        <v>96183.772</v>
      </c>
      <c r="AC32" s="12">
        <v>94294.844</v>
      </c>
      <c r="AD32" s="12">
        <v>98108.192</v>
      </c>
      <c r="AE32" s="12">
        <v>35229.122</v>
      </c>
      <c r="AF32" s="12">
        <v>27916.187</v>
      </c>
      <c r="AG32" s="12">
        <v>10383.206</v>
      </c>
      <c r="AH32" s="12">
        <v>57221.437</v>
      </c>
      <c r="AI32" s="12">
        <v>26058.186</v>
      </c>
      <c r="AJ32" s="12">
        <v>23642.159</v>
      </c>
      <c r="AK32" s="12">
        <v>18291.242</v>
      </c>
      <c r="AL32" s="12">
        <v>11114.917</v>
      </c>
      <c r="AM32" s="12">
        <f>50281.218+12079.952</f>
        <v>62361.17</v>
      </c>
      <c r="AN32" s="12">
        <v>34234.414</v>
      </c>
      <c r="AO32" s="12">
        <v>4334.7</v>
      </c>
      <c r="AP32" s="12">
        <v>25863.64</v>
      </c>
      <c r="AQ32" s="12">
        <v>17127.394</v>
      </c>
      <c r="AR32" s="12">
        <v>74292.926</v>
      </c>
      <c r="AS32" s="12">
        <v>6502.81</v>
      </c>
      <c r="AT32" s="12">
        <v>23097.488</v>
      </c>
      <c r="AU32" s="12">
        <v>0</v>
      </c>
      <c r="AV32" s="12">
        <v>38085.307</v>
      </c>
      <c r="AW32" s="12">
        <v>28557.762</v>
      </c>
      <c r="AX32" s="12">
        <v>28793.029</v>
      </c>
      <c r="AY32" s="12">
        <v>37608.136</v>
      </c>
      <c r="AZ32" s="12">
        <f>32209.219-146.076</f>
        <v>32063.143</v>
      </c>
      <c r="BA32" s="12">
        <v>5405.737</v>
      </c>
      <c r="BB32" s="12">
        <v>18894.223</v>
      </c>
      <c r="BC32" s="12">
        <v>3881.996</v>
      </c>
      <c r="BD32" s="12">
        <v>6535.736</v>
      </c>
      <c r="BE32" s="12">
        <v>85366.766</v>
      </c>
      <c r="BF32" s="12">
        <v>16771.673</v>
      </c>
      <c r="BG32" s="12">
        <v>0</v>
      </c>
      <c r="BH32" s="12">
        <v>8465.053</v>
      </c>
      <c r="BI32" s="12">
        <v>6801.353</v>
      </c>
      <c r="BJ32" s="12">
        <v>141.804</v>
      </c>
      <c r="BK32" s="12">
        <v>20702.094</v>
      </c>
      <c r="BL32" s="12">
        <v>4839</v>
      </c>
      <c r="BM32" s="12">
        <v>1123.532</v>
      </c>
      <c r="BN32" s="12">
        <v>133921.355</v>
      </c>
      <c r="BO32" s="12">
        <v>23857.839</v>
      </c>
      <c r="BP32" s="12"/>
      <c r="BQ32" s="12"/>
      <c r="BR32" s="12"/>
      <c r="BS32" s="230">
        <f t="shared" si="3"/>
        <v>12398841.787000002</v>
      </c>
      <c r="BT32" s="230">
        <f t="shared" si="4"/>
        <v>5446638.013999999</v>
      </c>
      <c r="BU32" s="230">
        <f t="shared" si="5"/>
        <v>3352256.284</v>
      </c>
      <c r="BV32" s="230">
        <f t="shared" si="6"/>
        <v>3495195.5719999997</v>
      </c>
      <c r="BW32" s="230">
        <f>SUM(BT32:BV32)</f>
        <v>12294089.869999997</v>
      </c>
      <c r="BX32" s="230">
        <f t="shared" si="1"/>
        <v>104751.917</v>
      </c>
      <c r="BY32" s="230"/>
      <c r="BZ32" s="230">
        <f t="shared" si="2"/>
        <v>12398841.786999997</v>
      </c>
    </row>
    <row r="33" spans="1:78" ht="12.75">
      <c r="A33" s="100" t="s">
        <v>534</v>
      </c>
      <c r="B33" s="10">
        <v>38331.592</v>
      </c>
      <c r="C33" s="10">
        <v>19977.12</v>
      </c>
      <c r="D33" s="10">
        <v>9232.135</v>
      </c>
      <c r="E33" s="10">
        <v>0</v>
      </c>
      <c r="F33" s="10">
        <v>24819.391</v>
      </c>
      <c r="G33" s="10">
        <v>15958.894</v>
      </c>
      <c r="H33" s="10">
        <v>10389.644</v>
      </c>
      <c r="I33" s="10">
        <v>13806.805</v>
      </c>
      <c r="J33" s="10">
        <v>19421.463</v>
      </c>
      <c r="K33" s="10">
        <v>14148.405</v>
      </c>
      <c r="L33" s="10">
        <v>0</v>
      </c>
      <c r="M33" s="10">
        <v>8622.054</v>
      </c>
      <c r="N33" s="10">
        <v>8963.483</v>
      </c>
      <c r="O33" s="10">
        <v>229.917</v>
      </c>
      <c r="P33" s="10">
        <v>0</v>
      </c>
      <c r="Q33" s="10">
        <v>9008.929</v>
      </c>
      <c r="R33" s="10">
        <v>0</v>
      </c>
      <c r="S33" s="10">
        <v>7202.1</v>
      </c>
      <c r="T33" s="10">
        <v>4401.432</v>
      </c>
      <c r="U33" s="10">
        <v>0</v>
      </c>
      <c r="V33" s="10">
        <v>1844.508</v>
      </c>
      <c r="W33" s="10">
        <v>15909.942</v>
      </c>
      <c r="X33" s="10">
        <v>0</v>
      </c>
      <c r="Y33" s="10">
        <v>12938.246</v>
      </c>
      <c r="Z33" s="10">
        <v>4059.683</v>
      </c>
      <c r="AA33" s="10">
        <v>0</v>
      </c>
      <c r="AB33" s="10">
        <v>5361.654</v>
      </c>
      <c r="AC33" s="10">
        <v>1144.939</v>
      </c>
      <c r="AD33" s="10">
        <v>700</v>
      </c>
      <c r="AE33" s="10">
        <v>8119.807</v>
      </c>
      <c r="AF33" s="10">
        <v>1289.987</v>
      </c>
      <c r="AG33" s="10">
        <v>4366.779</v>
      </c>
      <c r="AH33" s="10">
        <v>1033.167</v>
      </c>
      <c r="AI33" s="10">
        <v>0</v>
      </c>
      <c r="AJ33" s="10">
        <v>0</v>
      </c>
      <c r="AK33" s="10">
        <v>0</v>
      </c>
      <c r="AL33" s="10">
        <v>0</v>
      </c>
      <c r="AM33" s="10">
        <v>169.474</v>
      </c>
      <c r="AN33" s="10">
        <v>780.175</v>
      </c>
      <c r="AO33" s="10">
        <v>314.664</v>
      </c>
      <c r="AP33" s="10">
        <v>0</v>
      </c>
      <c r="AQ33" s="10">
        <v>280.869</v>
      </c>
      <c r="AR33" s="10">
        <v>1213.451</v>
      </c>
      <c r="AS33" s="10">
        <v>95.082</v>
      </c>
      <c r="AT33" s="10">
        <v>92.399</v>
      </c>
      <c r="AU33" s="10">
        <v>0</v>
      </c>
      <c r="AV33" s="10">
        <v>303.093</v>
      </c>
      <c r="AW33" s="10">
        <v>699.842</v>
      </c>
      <c r="AX33" s="10">
        <v>66.966</v>
      </c>
      <c r="AY33" s="10">
        <v>0</v>
      </c>
      <c r="AZ33" s="10">
        <v>86.053</v>
      </c>
      <c r="BA33" s="10">
        <v>1508.699</v>
      </c>
      <c r="BB33" s="10">
        <v>0</v>
      </c>
      <c r="BC33" s="10">
        <v>0</v>
      </c>
      <c r="BD33" s="10">
        <v>0</v>
      </c>
      <c r="BE33" s="10">
        <v>1.255</v>
      </c>
      <c r="BF33" s="10">
        <v>0</v>
      </c>
      <c r="BG33" s="10">
        <v>0</v>
      </c>
      <c r="BH33" s="10">
        <v>278.406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/>
      <c r="BQ33" s="10"/>
      <c r="BR33" s="10"/>
      <c r="BS33" s="230">
        <f t="shared" si="3"/>
        <v>267172.504</v>
      </c>
      <c r="BT33" s="230">
        <f t="shared" si="4"/>
        <v>26784.744000000002</v>
      </c>
      <c r="BU33" s="230">
        <f t="shared" si="5"/>
        <v>103166.43700000002</v>
      </c>
      <c r="BV33" s="230">
        <f t="shared" si="6"/>
        <v>97747.359</v>
      </c>
      <c r="BW33" s="230">
        <f aca="true" t="shared" si="10" ref="BW33:BW38">SUM(BT33:BV33)</f>
        <v>227698.54000000004</v>
      </c>
      <c r="BX33" s="230">
        <f t="shared" si="1"/>
        <v>39473.964</v>
      </c>
      <c r="BY33" s="230"/>
      <c r="BZ33" s="230">
        <f t="shared" si="2"/>
        <v>267172.504</v>
      </c>
    </row>
    <row r="34" spans="1:78" ht="12.75">
      <c r="A34" s="100" t="s">
        <v>535</v>
      </c>
      <c r="B34" s="10">
        <v>61469.19</v>
      </c>
      <c r="C34" s="10">
        <v>46951.102</v>
      </c>
      <c r="D34" s="10">
        <v>82065.402</v>
      </c>
      <c r="E34" s="10">
        <v>45831.556</v>
      </c>
      <c r="F34" s="10">
        <v>28030.996</v>
      </c>
      <c r="G34" s="10">
        <v>14762.471</v>
      </c>
      <c r="H34" s="10">
        <v>22413.784</v>
      </c>
      <c r="I34" s="10">
        <v>20708.208</v>
      </c>
      <c r="J34" s="10">
        <v>28088.761</v>
      </c>
      <c r="K34" s="10">
        <v>29568.538</v>
      </c>
      <c r="L34" s="10">
        <v>20505.171</v>
      </c>
      <c r="M34" s="10">
        <v>22000.765</v>
      </c>
      <c r="N34" s="10">
        <v>9959.285</v>
      </c>
      <c r="O34" s="10">
        <v>27610.689</v>
      </c>
      <c r="P34" s="10">
        <v>12791.019</v>
      </c>
      <c r="Q34" s="10">
        <v>15755.991</v>
      </c>
      <c r="R34" s="10">
        <v>22616.302</v>
      </c>
      <c r="S34" s="10">
        <v>4742.678</v>
      </c>
      <c r="T34" s="10">
        <v>3457.064</v>
      </c>
      <c r="U34" s="10">
        <v>376.078</v>
      </c>
      <c r="V34" s="10">
        <v>5360.089</v>
      </c>
      <c r="W34" s="10">
        <v>4876.984</v>
      </c>
      <c r="X34" s="10">
        <v>14170.379</v>
      </c>
      <c r="Y34" s="10">
        <v>1838.474</v>
      </c>
      <c r="Z34" s="10">
        <v>1840.203</v>
      </c>
      <c r="AA34" s="10">
        <v>4600.261</v>
      </c>
      <c r="AB34" s="10">
        <v>4986.76</v>
      </c>
      <c r="AC34" s="10">
        <v>1399.37</v>
      </c>
      <c r="AD34" s="10">
        <v>2118.401</v>
      </c>
      <c r="AE34" s="10">
        <v>3469.029</v>
      </c>
      <c r="AF34" s="10">
        <v>1186.558</v>
      </c>
      <c r="AG34" s="10">
        <v>0</v>
      </c>
      <c r="AH34" s="10">
        <v>668.03</v>
      </c>
      <c r="AI34" s="10">
        <v>4075.822</v>
      </c>
      <c r="AJ34" s="10">
        <v>6632.838</v>
      </c>
      <c r="AK34" s="10">
        <v>1265.47</v>
      </c>
      <c r="AL34" s="10">
        <v>1783.85</v>
      </c>
      <c r="AM34" s="10">
        <v>1775.381</v>
      </c>
      <c r="AN34" s="10">
        <v>2067.237</v>
      </c>
      <c r="AO34" s="10">
        <v>2969.51</v>
      </c>
      <c r="AP34" s="10">
        <v>3005.116</v>
      </c>
      <c r="AQ34" s="10">
        <v>2613.557</v>
      </c>
      <c r="AR34" s="10">
        <v>2141.84</v>
      </c>
      <c r="AS34" s="10">
        <v>649.766</v>
      </c>
      <c r="AT34" s="10">
        <v>2950.241</v>
      </c>
      <c r="AU34" s="10">
        <v>0</v>
      </c>
      <c r="AV34" s="10">
        <v>1244.319</v>
      </c>
      <c r="AW34" s="10">
        <v>860.406</v>
      </c>
      <c r="AX34" s="10">
        <v>849.672</v>
      </c>
      <c r="AY34" s="10">
        <v>3635.042</v>
      </c>
      <c r="AZ34" s="10">
        <v>405.026</v>
      </c>
      <c r="BA34" s="10">
        <v>246.603</v>
      </c>
      <c r="BB34" s="10">
        <v>1511.27</v>
      </c>
      <c r="BC34" s="10">
        <v>1742.313</v>
      </c>
      <c r="BD34" s="10">
        <v>1477.678</v>
      </c>
      <c r="BE34" s="10">
        <v>2069.958</v>
      </c>
      <c r="BF34" s="10">
        <v>2839.991</v>
      </c>
      <c r="BG34" s="10">
        <v>0</v>
      </c>
      <c r="BH34" s="10">
        <v>278.406</v>
      </c>
      <c r="BI34" s="10">
        <v>188.572</v>
      </c>
      <c r="BJ34" s="10">
        <v>1524.032</v>
      </c>
      <c r="BK34" s="10">
        <v>492.607</v>
      </c>
      <c r="BL34" s="10">
        <v>0</v>
      </c>
      <c r="BM34" s="10">
        <v>0.304</v>
      </c>
      <c r="BN34" s="10">
        <v>630.519</v>
      </c>
      <c r="BO34" s="10">
        <v>495.895</v>
      </c>
      <c r="BP34" s="10"/>
      <c r="BQ34" s="10"/>
      <c r="BR34" s="10"/>
      <c r="BS34" s="230">
        <f t="shared" si="3"/>
        <v>618642.8289999999</v>
      </c>
      <c r="BT34" s="230">
        <f t="shared" si="4"/>
        <v>88414.44</v>
      </c>
      <c r="BU34" s="230">
        <f t="shared" si="5"/>
        <v>288106.88399999996</v>
      </c>
      <c r="BV34" s="230">
        <f t="shared" si="6"/>
        <v>225373.804</v>
      </c>
      <c r="BW34" s="230">
        <f t="shared" si="10"/>
        <v>601895.128</v>
      </c>
      <c r="BX34" s="230">
        <f t="shared" si="1"/>
        <v>16747.700999999997</v>
      </c>
      <c r="BY34" s="230"/>
      <c r="BZ34" s="230">
        <f t="shared" si="2"/>
        <v>618642.829</v>
      </c>
    </row>
    <row r="35" spans="1:78" ht="12.75">
      <c r="A35" s="100" t="s">
        <v>536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545.898</v>
      </c>
      <c r="O35" s="10">
        <v>0</v>
      </c>
      <c r="P35" s="10">
        <f>332.426+3429.691</f>
        <v>3762.1169999999997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6966.281</v>
      </c>
      <c r="AF35" s="10">
        <v>0</v>
      </c>
      <c r="AG35" s="10">
        <v>0</v>
      </c>
      <c r="AH35" s="10">
        <v>0</v>
      </c>
      <c r="AI35" s="10">
        <v>0</v>
      </c>
      <c r="AJ35" s="10">
        <v>106.198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/>
      <c r="BM35" s="10">
        <v>0</v>
      </c>
      <c r="BN35" s="10">
        <v>0</v>
      </c>
      <c r="BO35" s="10">
        <v>0</v>
      </c>
      <c r="BP35" s="10"/>
      <c r="BQ35" s="10"/>
      <c r="BR35" s="10"/>
      <c r="BS35" s="230">
        <f t="shared" si="3"/>
        <v>11380.493999999999</v>
      </c>
      <c r="BT35" s="230">
        <f t="shared" si="4"/>
        <v>3762.1169999999997</v>
      </c>
      <c r="BU35" s="230">
        <f t="shared" si="5"/>
        <v>106.198</v>
      </c>
      <c r="BV35" s="230">
        <f t="shared" si="6"/>
        <v>7512.179</v>
      </c>
      <c r="BW35" s="230">
        <f t="shared" si="10"/>
        <v>11380.493999999999</v>
      </c>
      <c r="BX35" s="230">
        <f t="shared" si="1"/>
        <v>0</v>
      </c>
      <c r="BY35" s="230"/>
      <c r="BZ35" s="230">
        <f t="shared" si="2"/>
        <v>11380.493999999999</v>
      </c>
    </row>
    <row r="36" spans="1:78" ht="12.75">
      <c r="A36" s="100" t="s">
        <v>537</v>
      </c>
      <c r="B36" s="12">
        <v>0</v>
      </c>
      <c r="C36" s="12">
        <v>82555.997</v>
      </c>
      <c r="D36" s="12">
        <v>76724.55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32268.926</v>
      </c>
      <c r="L36" s="12">
        <v>0</v>
      </c>
      <c r="M36" s="12">
        <v>0</v>
      </c>
      <c r="N36" s="12">
        <v>40047.108</v>
      </c>
      <c r="O36" s="12">
        <v>0</v>
      </c>
      <c r="P36" s="12">
        <v>0</v>
      </c>
      <c r="Q36" s="86">
        <v>0</v>
      </c>
      <c r="R36" s="12">
        <v>0</v>
      </c>
      <c r="S36" s="12">
        <v>0</v>
      </c>
      <c r="T36" s="12">
        <v>0</v>
      </c>
      <c r="U36" s="12">
        <v>42400.653</v>
      </c>
      <c r="V36" s="12">
        <v>2739.126</v>
      </c>
      <c r="W36" s="12">
        <v>0</v>
      </c>
      <c r="X36" s="12">
        <v>0</v>
      </c>
      <c r="Y36" s="12">
        <v>0</v>
      </c>
      <c r="Z36" s="12">
        <v>230.045</v>
      </c>
      <c r="AA36" s="12">
        <v>0</v>
      </c>
      <c r="AB36" s="12">
        <v>0</v>
      </c>
      <c r="AC36" s="12">
        <v>0</v>
      </c>
      <c r="AD36" s="12">
        <v>22511.592</v>
      </c>
      <c r="AE36" s="12">
        <v>0</v>
      </c>
      <c r="AF36" s="12">
        <v>0</v>
      </c>
      <c r="AG36" s="12">
        <v>0</v>
      </c>
      <c r="AH36" s="12">
        <v>2963.101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2472.958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-42.882</v>
      </c>
      <c r="AZ36" s="12">
        <v>0</v>
      </c>
      <c r="BA36" s="12">
        <v>104.225</v>
      </c>
      <c r="BB36" s="12">
        <v>0</v>
      </c>
      <c r="BC36" s="12">
        <v>0</v>
      </c>
      <c r="BD36" s="12">
        <v>0</v>
      </c>
      <c r="BE36" s="12">
        <v>16662.867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106.96</v>
      </c>
      <c r="BP36" s="12"/>
      <c r="BQ36" s="12"/>
      <c r="BR36" s="12"/>
      <c r="BS36" s="230">
        <f t="shared" si="3"/>
        <v>321745.2260000001</v>
      </c>
      <c r="BT36" s="230">
        <f t="shared" si="4"/>
        <v>166977.19499999998</v>
      </c>
      <c r="BU36" s="230">
        <f t="shared" si="5"/>
        <v>108993.476</v>
      </c>
      <c r="BV36" s="230">
        <f t="shared" si="6"/>
        <v>42967.327000000005</v>
      </c>
      <c r="BW36" s="230">
        <f t="shared" si="10"/>
        <v>318937.99799999996</v>
      </c>
      <c r="BX36" s="230">
        <f t="shared" si="1"/>
        <v>2807.228</v>
      </c>
      <c r="BY36" s="230"/>
      <c r="BZ36" s="230">
        <f t="shared" si="2"/>
        <v>321745.22599999997</v>
      </c>
    </row>
    <row r="37" spans="1:78" ht="12.75">
      <c r="A37" s="100" t="s">
        <v>615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/>
      <c r="BQ37" s="12"/>
      <c r="BR37" s="12"/>
      <c r="BS37" s="230">
        <f t="shared" si="3"/>
        <v>0</v>
      </c>
      <c r="BT37" s="230">
        <f t="shared" si="4"/>
        <v>0</v>
      </c>
      <c r="BU37" s="230">
        <f t="shared" si="5"/>
        <v>0</v>
      </c>
      <c r="BV37" s="230">
        <f t="shared" si="6"/>
        <v>0</v>
      </c>
      <c r="BW37" s="230">
        <f t="shared" si="10"/>
        <v>0</v>
      </c>
      <c r="BX37" s="230">
        <f t="shared" si="1"/>
        <v>0</v>
      </c>
      <c r="BY37" s="230"/>
      <c r="BZ37" s="230">
        <f t="shared" si="2"/>
        <v>0</v>
      </c>
    </row>
    <row r="38" spans="1:78" ht="12.75">
      <c r="A38" s="100" t="s">
        <v>538</v>
      </c>
      <c r="B38" s="12">
        <v>14926.473</v>
      </c>
      <c r="C38" s="12">
        <v>0</v>
      </c>
      <c r="D38" s="12">
        <v>0</v>
      </c>
      <c r="E38" s="12">
        <v>34435.966</v>
      </c>
      <c r="F38" s="12">
        <v>4323.119</v>
      </c>
      <c r="G38" s="12">
        <v>0</v>
      </c>
      <c r="H38" s="12">
        <v>0</v>
      </c>
      <c r="I38" s="12">
        <v>0</v>
      </c>
      <c r="J38" s="12">
        <v>24603.033</v>
      </c>
      <c r="K38" s="12">
        <v>0</v>
      </c>
      <c r="L38" s="12">
        <v>1594.051</v>
      </c>
      <c r="M38" s="12">
        <v>5828.123</v>
      </c>
      <c r="N38" s="12">
        <v>36397.371</v>
      </c>
      <c r="O38" s="12">
        <v>0</v>
      </c>
      <c r="P38" s="12">
        <v>2277.344</v>
      </c>
      <c r="Q38" s="12">
        <v>2085.99</v>
      </c>
      <c r="R38" s="12">
        <v>3334.595</v>
      </c>
      <c r="S38" s="12">
        <v>0</v>
      </c>
      <c r="T38" s="12">
        <f>1023.988-124.854+937.48+7370.602</f>
        <v>9207.216</v>
      </c>
      <c r="U38" s="12">
        <v>0</v>
      </c>
      <c r="V38" s="12">
        <v>0</v>
      </c>
      <c r="W38" s="12">
        <v>1567.325</v>
      </c>
      <c r="X38" s="12">
        <v>0</v>
      </c>
      <c r="Y38" s="12">
        <v>0</v>
      </c>
      <c r="Z38" s="12">
        <v>0</v>
      </c>
      <c r="AA38" s="12">
        <v>3176.426</v>
      </c>
      <c r="AB38" s="12">
        <v>1650.838</v>
      </c>
      <c r="AC38" s="12">
        <v>279.926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479.101</v>
      </c>
      <c r="AJ38" s="12">
        <v>301.774</v>
      </c>
      <c r="AK38" s="12">
        <v>0</v>
      </c>
      <c r="AL38" s="12">
        <v>116.986</v>
      </c>
      <c r="AM38" s="12">
        <v>0</v>
      </c>
      <c r="AN38" s="12">
        <v>10565.694</v>
      </c>
      <c r="AO38" s="12">
        <v>0</v>
      </c>
      <c r="AP38" s="12">
        <v>0</v>
      </c>
      <c r="AQ38" s="12">
        <v>0</v>
      </c>
      <c r="AR38" s="12">
        <v>1535.184</v>
      </c>
      <c r="AS38" s="12">
        <v>0</v>
      </c>
      <c r="AT38" s="12">
        <v>20.08</v>
      </c>
      <c r="AU38" s="12">
        <v>0</v>
      </c>
      <c r="AV38" s="12">
        <v>0</v>
      </c>
      <c r="AW38" s="12">
        <v>680.102</v>
      </c>
      <c r="AX38" s="12">
        <v>0</v>
      </c>
      <c r="AY38" s="12">
        <v>0</v>
      </c>
      <c r="AZ38" s="12">
        <v>23.145</v>
      </c>
      <c r="BA38" s="12">
        <v>0</v>
      </c>
      <c r="BB38" s="12">
        <v>1107.628</v>
      </c>
      <c r="BC38" s="12">
        <v>2502.726</v>
      </c>
      <c r="BD38" s="12">
        <v>753.084</v>
      </c>
      <c r="BE38" s="12">
        <v>0</v>
      </c>
      <c r="BF38" s="12">
        <v>1947.335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2214</v>
      </c>
      <c r="BM38" s="12">
        <v>0</v>
      </c>
      <c r="BN38" s="12">
        <v>0</v>
      </c>
      <c r="BO38" s="12">
        <v>0</v>
      </c>
      <c r="BP38" s="12"/>
      <c r="BQ38" s="12"/>
      <c r="BR38" s="12"/>
      <c r="BS38" s="230">
        <f t="shared" si="3"/>
        <v>167934.635</v>
      </c>
      <c r="BT38" s="230">
        <f t="shared" si="4"/>
        <v>22309.462</v>
      </c>
      <c r="BU38" s="230">
        <f t="shared" si="5"/>
        <v>37641.219999999994</v>
      </c>
      <c r="BV38" s="230">
        <f t="shared" si="6"/>
        <v>106416.62800000003</v>
      </c>
      <c r="BW38" s="230">
        <f t="shared" si="10"/>
        <v>166367.31000000003</v>
      </c>
      <c r="BX38" s="230">
        <f t="shared" si="1"/>
        <v>1567.325</v>
      </c>
      <c r="BY38" s="230"/>
      <c r="BZ38" s="230">
        <f t="shared" si="2"/>
        <v>167934.63500000004</v>
      </c>
    </row>
    <row r="39" spans="1:78" ht="12.75">
      <c r="A39" s="244" t="s">
        <v>539</v>
      </c>
      <c r="B39" s="226">
        <f aca="true" t="shared" si="11" ref="B39:AG39">SUM(B32:B38)</f>
        <v>1117687.555</v>
      </c>
      <c r="C39" s="226">
        <f t="shared" si="11"/>
        <v>3826456.024</v>
      </c>
      <c r="D39" s="226">
        <f t="shared" si="11"/>
        <v>1281880.473</v>
      </c>
      <c r="E39" s="226">
        <f t="shared" si="11"/>
        <v>787452.346</v>
      </c>
      <c r="F39" s="226">
        <f t="shared" si="11"/>
        <v>777692.144</v>
      </c>
      <c r="G39" s="226">
        <f t="shared" si="11"/>
        <v>95416.67400000001</v>
      </c>
      <c r="H39" s="226">
        <f t="shared" si="11"/>
        <v>365308.60699999996</v>
      </c>
      <c r="I39" s="226">
        <f t="shared" si="11"/>
        <v>551671.498</v>
      </c>
      <c r="J39" s="226">
        <f t="shared" si="11"/>
        <v>266941.584</v>
      </c>
      <c r="K39" s="226">
        <f t="shared" si="11"/>
        <v>171473.464</v>
      </c>
      <c r="L39" s="226">
        <f t="shared" si="11"/>
        <v>476992.12299999996</v>
      </c>
      <c r="M39" s="226">
        <f t="shared" si="11"/>
        <v>213877.88100000002</v>
      </c>
      <c r="N39" s="226">
        <f t="shared" si="11"/>
        <v>153174.89400000003</v>
      </c>
      <c r="O39" s="226">
        <f t="shared" si="11"/>
        <v>263131.58499999996</v>
      </c>
      <c r="P39" s="226">
        <f t="shared" si="11"/>
        <v>275616.534</v>
      </c>
      <c r="Q39" s="226">
        <f>SUM(Q32:Q38)</f>
        <v>183011.413</v>
      </c>
      <c r="R39" s="226">
        <f t="shared" si="11"/>
        <v>71321.723</v>
      </c>
      <c r="S39" s="226">
        <f t="shared" si="11"/>
        <v>176720.326</v>
      </c>
      <c r="T39" s="226">
        <f t="shared" si="11"/>
        <v>129715.57</v>
      </c>
      <c r="U39" s="226">
        <f t="shared" si="11"/>
        <v>166523.42299999998</v>
      </c>
      <c r="V39" s="226">
        <f t="shared" si="11"/>
        <v>244222.632</v>
      </c>
      <c r="W39" s="226">
        <f t="shared" si="11"/>
        <v>44923.556</v>
      </c>
      <c r="X39" s="226">
        <f t="shared" si="11"/>
        <v>102776.736</v>
      </c>
      <c r="Y39" s="226">
        <f t="shared" si="11"/>
        <v>37042.488</v>
      </c>
      <c r="Z39" s="226">
        <f t="shared" si="11"/>
        <v>15349.771</v>
      </c>
      <c r="AA39" s="226">
        <f t="shared" si="11"/>
        <v>571076.054</v>
      </c>
      <c r="AB39" s="226">
        <f t="shared" si="11"/>
        <v>108183.02399999999</v>
      </c>
      <c r="AC39" s="226">
        <f t="shared" si="11"/>
        <v>97119.079</v>
      </c>
      <c r="AD39" s="226">
        <f t="shared" si="11"/>
        <v>123438.185</v>
      </c>
      <c r="AE39" s="226">
        <f t="shared" si="11"/>
        <v>53784.23900000001</v>
      </c>
      <c r="AF39" s="226">
        <f t="shared" si="11"/>
        <v>30392.732000000004</v>
      </c>
      <c r="AG39" s="226">
        <f t="shared" si="11"/>
        <v>14749.985</v>
      </c>
      <c r="AH39" s="226">
        <f aca="true" t="shared" si="12" ref="AH39:BN39">SUM(AH32:AH38)</f>
        <v>61885.735</v>
      </c>
      <c r="AI39" s="226">
        <f t="shared" si="12"/>
        <v>30613.109</v>
      </c>
      <c r="AJ39" s="226">
        <f t="shared" si="12"/>
        <v>30682.969</v>
      </c>
      <c r="AK39" s="226">
        <f t="shared" si="12"/>
        <v>19556.712</v>
      </c>
      <c r="AL39" s="226">
        <f t="shared" si="12"/>
        <v>13015.753</v>
      </c>
      <c r="AM39" s="226">
        <f t="shared" si="12"/>
        <v>64306.025</v>
      </c>
      <c r="AN39" s="226">
        <f t="shared" si="12"/>
        <v>47647.520000000004</v>
      </c>
      <c r="AO39" s="226">
        <f t="shared" si="12"/>
        <v>7618.874</v>
      </c>
      <c r="AP39" s="226">
        <f t="shared" si="12"/>
        <v>28868.756</v>
      </c>
      <c r="AQ39" s="226">
        <f t="shared" si="12"/>
        <v>20021.82</v>
      </c>
      <c r="AR39" s="226">
        <f t="shared" si="12"/>
        <v>79183.401</v>
      </c>
      <c r="AS39" s="226">
        <f t="shared" si="12"/>
        <v>9720.616</v>
      </c>
      <c r="AT39" s="226">
        <f t="shared" si="12"/>
        <v>26160.208000000006</v>
      </c>
      <c r="AU39" s="226">
        <f>SUM(AU32:AU38)</f>
        <v>0</v>
      </c>
      <c r="AV39" s="226">
        <f t="shared" si="12"/>
        <v>39632.719000000005</v>
      </c>
      <c r="AW39" s="226">
        <f t="shared" si="12"/>
        <v>30798.111999999997</v>
      </c>
      <c r="AX39" s="226">
        <f t="shared" si="12"/>
        <v>29709.666999999998</v>
      </c>
      <c r="AY39" s="226">
        <f t="shared" si="12"/>
        <v>41200.296</v>
      </c>
      <c r="AZ39" s="226">
        <f t="shared" si="12"/>
        <v>32577.367000000002</v>
      </c>
      <c r="BA39" s="226">
        <f t="shared" si="12"/>
        <v>7265.264</v>
      </c>
      <c r="BB39" s="226">
        <f t="shared" si="12"/>
        <v>21513.121000000003</v>
      </c>
      <c r="BC39" s="226">
        <f t="shared" si="12"/>
        <v>8127.035</v>
      </c>
      <c r="BD39" s="226">
        <f t="shared" si="12"/>
        <v>8766.498</v>
      </c>
      <c r="BE39" s="226">
        <f t="shared" si="12"/>
        <v>104100.846</v>
      </c>
      <c r="BF39" s="226">
        <f>SUM(BF32:BF38)</f>
        <v>21558.998999999996</v>
      </c>
      <c r="BG39" s="226">
        <f t="shared" si="12"/>
        <v>0</v>
      </c>
      <c r="BH39" s="226">
        <f t="shared" si="12"/>
        <v>9021.865000000002</v>
      </c>
      <c r="BI39" s="226">
        <f t="shared" si="12"/>
        <v>6989.925</v>
      </c>
      <c r="BJ39" s="226">
        <f t="shared" si="12"/>
        <v>1665.836</v>
      </c>
      <c r="BK39" s="226">
        <f t="shared" si="12"/>
        <v>21194.701</v>
      </c>
      <c r="BL39" s="226">
        <f t="shared" si="12"/>
        <v>7053</v>
      </c>
      <c r="BM39" s="226">
        <f t="shared" si="12"/>
        <v>1123.836</v>
      </c>
      <c r="BN39" s="226">
        <f t="shared" si="12"/>
        <v>134551.874</v>
      </c>
      <c r="BO39" s="226">
        <f>SUM(BO32:BO38)</f>
        <v>24460.694</v>
      </c>
      <c r="BP39" s="226"/>
      <c r="BQ39" s="226"/>
      <c r="BR39" s="226"/>
      <c r="BS39" s="230">
        <f t="shared" si="3"/>
        <v>13785717.474999996</v>
      </c>
      <c r="BT39" s="230">
        <f t="shared" si="4"/>
        <v>5754885.972</v>
      </c>
      <c r="BU39" s="230">
        <f t="shared" si="5"/>
        <v>3890270.4990000003</v>
      </c>
      <c r="BV39" s="230">
        <f t="shared" si="6"/>
        <v>3975212.869</v>
      </c>
      <c r="BW39" s="230">
        <f>SUM(BT39:BV39)</f>
        <v>13620369.34</v>
      </c>
      <c r="BX39" s="230">
        <f t="shared" si="1"/>
        <v>165348.135</v>
      </c>
      <c r="BY39" s="230"/>
      <c r="BZ39" s="230">
        <f t="shared" si="2"/>
        <v>13785717.475</v>
      </c>
    </row>
    <row r="40" spans="1:78" ht="12.75">
      <c r="A40" s="98"/>
      <c r="B40" s="12"/>
      <c r="C40" s="12"/>
      <c r="D40" s="12"/>
      <c r="E40" s="12"/>
      <c r="F40" s="13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2"/>
      <c r="R40" s="12"/>
      <c r="S40" s="13"/>
      <c r="T40" s="12"/>
      <c r="U40" s="13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3"/>
      <c r="AH40" s="12"/>
      <c r="AI40" s="13"/>
      <c r="AJ40" s="12"/>
      <c r="AK40" s="12"/>
      <c r="AL40" s="12"/>
      <c r="AM40" s="12"/>
      <c r="AN40" s="12"/>
      <c r="AO40" s="12"/>
      <c r="AP40" s="13"/>
      <c r="AQ40" s="12"/>
      <c r="AR40" s="12"/>
      <c r="AS40" s="12"/>
      <c r="AT40" s="12"/>
      <c r="AU40" s="12"/>
      <c r="AV40" s="13"/>
      <c r="AW40" s="12"/>
      <c r="AX40" s="12"/>
      <c r="AY40" s="12"/>
      <c r="AZ40" s="12"/>
      <c r="BA40" s="12"/>
      <c r="BB40" s="12"/>
      <c r="BC40" s="12"/>
      <c r="BD40" s="12"/>
      <c r="BE40" s="12" t="s">
        <v>175</v>
      </c>
      <c r="BF40" s="12"/>
      <c r="BG40" s="12"/>
      <c r="BH40" s="13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230"/>
      <c r="BT40" s="230"/>
      <c r="BU40" s="230"/>
      <c r="BV40" s="230"/>
      <c r="BW40" s="230"/>
      <c r="BX40" s="230"/>
      <c r="BY40" s="230"/>
      <c r="BZ40" s="230"/>
    </row>
    <row r="41" spans="1:78" ht="12.75">
      <c r="A41" s="245" t="s">
        <v>540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230"/>
      <c r="BT41" s="230"/>
      <c r="BU41" s="230"/>
      <c r="BV41" s="230"/>
      <c r="BW41" s="230"/>
      <c r="BX41" s="230"/>
      <c r="BY41" s="230"/>
      <c r="BZ41" s="230"/>
    </row>
    <row r="42" spans="1:78" ht="12.75">
      <c r="A42" s="245" t="s">
        <v>541</v>
      </c>
      <c r="B42" s="226">
        <f aca="true" t="shared" si="13" ref="B42:AH42">B29-B39</f>
        <v>9119818.476000002</v>
      </c>
      <c r="C42" s="226">
        <f t="shared" si="13"/>
        <v>4456380.27</v>
      </c>
      <c r="D42" s="226">
        <f t="shared" si="13"/>
        <v>8900456.112</v>
      </c>
      <c r="E42" s="226">
        <f t="shared" si="13"/>
        <v>4746341.473</v>
      </c>
      <c r="F42" s="226">
        <f t="shared" si="13"/>
        <v>5891577.101999999</v>
      </c>
      <c r="G42" s="226">
        <f t="shared" si="13"/>
        <v>2214443.777</v>
      </c>
      <c r="H42" s="226">
        <f t="shared" si="13"/>
        <v>4877911.449</v>
      </c>
      <c r="I42" s="226">
        <f t="shared" si="13"/>
        <v>1632131.4559999998</v>
      </c>
      <c r="J42" s="226">
        <f t="shared" si="13"/>
        <v>1918801.939</v>
      </c>
      <c r="K42" s="226">
        <f t="shared" si="13"/>
        <v>2414980.2909999997</v>
      </c>
      <c r="L42" s="226">
        <f t="shared" si="13"/>
        <v>3977319.099</v>
      </c>
      <c r="M42" s="226">
        <f t="shared" si="13"/>
        <v>2330007.9340000004</v>
      </c>
      <c r="N42" s="226">
        <f t="shared" si="13"/>
        <v>1863078.8729999997</v>
      </c>
      <c r="O42" s="226">
        <f t="shared" si="13"/>
        <v>2330852.253</v>
      </c>
      <c r="P42" s="226">
        <f t="shared" si="13"/>
        <v>737001.314</v>
      </c>
      <c r="Q42" s="226">
        <f t="shared" si="13"/>
        <v>1013101.5500000003</v>
      </c>
      <c r="R42" s="226">
        <f t="shared" si="13"/>
        <v>1180099.5610000002</v>
      </c>
      <c r="S42" s="226">
        <f t="shared" si="13"/>
        <v>938718.5290000002</v>
      </c>
      <c r="T42" s="226">
        <f t="shared" si="13"/>
        <v>951751.9879999999</v>
      </c>
      <c r="U42" s="226">
        <f t="shared" si="13"/>
        <v>2780881.53</v>
      </c>
      <c r="V42" s="226">
        <f t="shared" si="13"/>
        <v>733230.889</v>
      </c>
      <c r="W42" s="226">
        <f t="shared" si="13"/>
        <v>1939362.736</v>
      </c>
      <c r="X42" s="226">
        <f t="shared" si="13"/>
        <v>480813.529</v>
      </c>
      <c r="Y42" s="226">
        <f t="shared" si="13"/>
        <v>3589355.8070000005</v>
      </c>
      <c r="Z42" s="226">
        <f t="shared" si="13"/>
        <v>886661.866</v>
      </c>
      <c r="AA42" s="226">
        <f t="shared" si="13"/>
        <v>124979.76600000006</v>
      </c>
      <c r="AB42" s="226">
        <f t="shared" si="13"/>
        <v>410812.2170000001</v>
      </c>
      <c r="AC42" s="226">
        <f t="shared" si="13"/>
        <v>363603.296</v>
      </c>
      <c r="AD42" s="226">
        <f t="shared" si="13"/>
        <v>489920.339</v>
      </c>
      <c r="AE42" s="226">
        <f t="shared" si="13"/>
        <v>628897.7349999999</v>
      </c>
      <c r="AF42" s="226">
        <f t="shared" si="13"/>
        <v>404858.486</v>
      </c>
      <c r="AG42" s="226">
        <f t="shared" si="13"/>
        <v>2201405.639</v>
      </c>
      <c r="AH42" s="226">
        <f t="shared" si="13"/>
        <v>332189.46</v>
      </c>
      <c r="AI42" s="226">
        <f aca="true" t="shared" si="14" ref="AI42:AR42">AI29-AI39</f>
        <v>391325.19899999996</v>
      </c>
      <c r="AJ42" s="226">
        <f t="shared" si="14"/>
        <v>173480.095</v>
      </c>
      <c r="AK42" s="226">
        <f t="shared" si="14"/>
        <v>361414.57899999997</v>
      </c>
      <c r="AL42" s="226">
        <f t="shared" si="14"/>
        <v>277589.358</v>
      </c>
      <c r="AM42" s="226">
        <f t="shared" si="14"/>
        <v>517783.044</v>
      </c>
      <c r="AN42" s="226">
        <f t="shared" si="14"/>
        <v>183158.13799999998</v>
      </c>
      <c r="AO42" s="226">
        <f>AO29-AO39</f>
        <v>870105.498</v>
      </c>
      <c r="AP42" s="226">
        <f t="shared" si="14"/>
        <v>172233.197</v>
      </c>
      <c r="AQ42" s="226">
        <f>AQ29-AQ39</f>
        <v>236614.55599999995</v>
      </c>
      <c r="AR42" s="226">
        <f t="shared" si="14"/>
        <v>113752.154</v>
      </c>
      <c r="AS42" s="226">
        <f aca="true" t="shared" si="15" ref="AS42:BO42">AS29-AS39</f>
        <v>437802.01800000004</v>
      </c>
      <c r="AT42" s="226">
        <f t="shared" si="15"/>
        <v>140257.183</v>
      </c>
      <c r="AU42" s="226">
        <f>AU29-AU39</f>
        <v>574409.1440000001</v>
      </c>
      <c r="AV42" s="226">
        <f t="shared" si="15"/>
        <v>211941.74799999996</v>
      </c>
      <c r="AW42" s="226">
        <f t="shared" si="15"/>
        <v>106404.55500000002</v>
      </c>
      <c r="AX42" s="226">
        <f t="shared" si="15"/>
        <v>62043.201</v>
      </c>
      <c r="AY42" s="226">
        <f t="shared" si="15"/>
        <v>94411.117</v>
      </c>
      <c r="AZ42" s="226">
        <f t="shared" si="15"/>
        <v>37292.153999999995</v>
      </c>
      <c r="BA42" s="226">
        <f t="shared" si="15"/>
        <v>155313.219</v>
      </c>
      <c r="BB42" s="226">
        <f t="shared" si="15"/>
        <v>37687.403000000006</v>
      </c>
      <c r="BC42" s="226">
        <f t="shared" si="15"/>
        <v>88538.675</v>
      </c>
      <c r="BD42" s="226">
        <f t="shared" si="15"/>
        <v>40376.078</v>
      </c>
      <c r="BE42" s="226">
        <f t="shared" si="15"/>
        <v>5394.350999999995</v>
      </c>
      <c r="BF42" s="226">
        <f>BF29-BF39</f>
        <v>26279.087</v>
      </c>
      <c r="BG42" s="226">
        <f t="shared" si="15"/>
        <v>384309.214</v>
      </c>
      <c r="BH42" s="226">
        <f t="shared" si="15"/>
        <v>32024.497000000007</v>
      </c>
      <c r="BI42" s="226">
        <f t="shared" si="15"/>
        <v>11280.818</v>
      </c>
      <c r="BJ42" s="226">
        <f t="shared" si="15"/>
        <v>14632.616000000002</v>
      </c>
      <c r="BK42" s="226">
        <f t="shared" si="15"/>
        <v>199.2510000000002</v>
      </c>
      <c r="BL42" s="226">
        <f t="shared" si="15"/>
        <v>94</v>
      </c>
      <c r="BM42" s="226">
        <f t="shared" si="15"/>
        <v>10411.641</v>
      </c>
      <c r="BN42" s="226">
        <f t="shared" si="15"/>
        <v>11647.206999999995</v>
      </c>
      <c r="BO42" s="226">
        <f t="shared" si="15"/>
        <v>1560.403000000002</v>
      </c>
      <c r="BP42" s="226"/>
      <c r="BQ42" s="226"/>
      <c r="BR42" s="226"/>
      <c r="BS42" s="230">
        <f t="shared" si="3"/>
        <v>82643512.13899994</v>
      </c>
      <c r="BT42" s="230">
        <f t="shared" si="4"/>
        <v>10431783.828000002</v>
      </c>
      <c r="BU42" s="230">
        <f t="shared" si="5"/>
        <v>31802283.164999995</v>
      </c>
      <c r="BV42" s="230">
        <f t="shared" si="6"/>
        <v>29682601.159</v>
      </c>
      <c r="BW42" s="230">
        <f>SUM(BT42:BV42)</f>
        <v>71916668.15200001</v>
      </c>
      <c r="BX42" s="230">
        <f t="shared" si="1"/>
        <v>10726843.987</v>
      </c>
      <c r="BY42" s="230"/>
      <c r="BZ42" s="230">
        <f t="shared" si="2"/>
        <v>82643512.13900001</v>
      </c>
    </row>
    <row r="43" spans="1:78" ht="12.75">
      <c r="A43" s="245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230"/>
      <c r="BT43" s="230"/>
      <c r="BU43" s="230"/>
      <c r="BV43" s="230"/>
      <c r="BW43" s="230"/>
      <c r="BX43" s="230"/>
      <c r="BY43" s="230"/>
      <c r="BZ43" s="230"/>
    </row>
    <row r="44" spans="1:78" ht="12.75">
      <c r="A44" s="245" t="s">
        <v>583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230"/>
      <c r="BT44" s="230"/>
      <c r="BU44" s="230"/>
      <c r="BV44" s="230"/>
      <c r="BW44" s="230"/>
      <c r="BX44" s="230"/>
      <c r="BY44" s="230"/>
      <c r="BZ44" s="230"/>
    </row>
    <row r="45" spans="1:78" ht="12.75">
      <c r="A45" s="243" t="s">
        <v>542</v>
      </c>
      <c r="B45" s="10">
        <f>410263.949+1389472.5</f>
        <v>1799736.449</v>
      </c>
      <c r="C45" s="10">
        <v>616302.868</v>
      </c>
      <c r="D45" s="10">
        <v>2877491.478</v>
      </c>
      <c r="E45" s="10">
        <v>866544.072</v>
      </c>
      <c r="F45" s="10">
        <v>3425735.199</v>
      </c>
      <c r="G45" s="10">
        <v>338629.605</v>
      </c>
      <c r="H45" s="10">
        <f>70007.083+1509377.71</f>
        <v>1579384.793</v>
      </c>
      <c r="I45" s="10">
        <f>331836.203+219210.88</f>
        <v>551047.083</v>
      </c>
      <c r="J45" s="10">
        <v>987043.918</v>
      </c>
      <c r="K45" s="10">
        <v>614686.299</v>
      </c>
      <c r="L45" s="10">
        <v>2465158.56</v>
      </c>
      <c r="M45" s="10">
        <v>876284.511</v>
      </c>
      <c r="N45" s="10">
        <v>215542.497</v>
      </c>
      <c r="O45" s="10">
        <v>918095.031</v>
      </c>
      <c r="P45" s="10">
        <v>0</v>
      </c>
      <c r="Q45" s="10">
        <v>281508.576</v>
      </c>
      <c r="R45" s="10">
        <v>636703</v>
      </c>
      <c r="S45" s="10">
        <v>220452.705</v>
      </c>
      <c r="T45" s="10">
        <v>234855.918</v>
      </c>
      <c r="U45" s="10">
        <v>70000</v>
      </c>
      <c r="V45" s="10">
        <v>137771.444</v>
      </c>
      <c r="W45" s="10">
        <v>299615.312</v>
      </c>
      <c r="X45" s="10">
        <v>235873.193</v>
      </c>
      <c r="Y45" s="10">
        <v>2815773.671</v>
      </c>
      <c r="Z45" s="10">
        <v>323983.298</v>
      </c>
      <c r="AA45" s="10">
        <v>0</v>
      </c>
      <c r="AB45" s="10">
        <v>116458.51</v>
      </c>
      <c r="AC45" s="10">
        <v>31114.534</v>
      </c>
      <c r="AD45" s="10">
        <v>0</v>
      </c>
      <c r="AE45" s="10">
        <f>84629.974+196472.604+31047.131+70140.181</f>
        <v>382289.88999999996</v>
      </c>
      <c r="AF45" s="10">
        <v>90000.26</v>
      </c>
      <c r="AG45" s="10">
        <v>489638.897</v>
      </c>
      <c r="AH45" s="10">
        <v>76329.853</v>
      </c>
      <c r="AI45" s="10">
        <v>80290.943</v>
      </c>
      <c r="AJ45" s="10">
        <v>0</v>
      </c>
      <c r="AK45" s="10">
        <v>138327.231</v>
      </c>
      <c r="AL45" s="10">
        <v>61427.332</v>
      </c>
      <c r="AM45" s="10">
        <v>188160.389</v>
      </c>
      <c r="AN45" s="10">
        <v>44593.471</v>
      </c>
      <c r="AO45" s="10">
        <v>430058.474</v>
      </c>
      <c r="AP45" s="10">
        <v>26910.651</v>
      </c>
      <c r="AQ45" s="10">
        <v>75736.101</v>
      </c>
      <c r="AR45" s="10">
        <v>71486.342</v>
      </c>
      <c r="AS45" s="10">
        <v>107329.347</v>
      </c>
      <c r="AT45" s="10">
        <v>21977.255</v>
      </c>
      <c r="AU45" s="10">
        <v>36106.444</v>
      </c>
      <c r="AV45" s="10">
        <v>60265.84</v>
      </c>
      <c r="AW45" s="10">
        <v>0</v>
      </c>
      <c r="AX45" s="10">
        <v>0</v>
      </c>
      <c r="AY45" s="10">
        <v>17500</v>
      </c>
      <c r="AZ45" s="10">
        <v>0</v>
      </c>
      <c r="BA45" s="10">
        <f>12460.393+31009</f>
        <v>43469.393</v>
      </c>
      <c r="BB45" s="10">
        <v>0</v>
      </c>
      <c r="BC45" s="10">
        <v>26538.366</v>
      </c>
      <c r="BD45" s="10">
        <v>0</v>
      </c>
      <c r="BE45" s="10">
        <v>0</v>
      </c>
      <c r="BF45" s="10">
        <v>0</v>
      </c>
      <c r="BG45" s="10">
        <v>7218.802</v>
      </c>
      <c r="BH45" s="10">
        <v>5695</v>
      </c>
      <c r="BI45" s="10">
        <v>6088.944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  <c r="BO45" s="10">
        <v>0</v>
      </c>
      <c r="BP45" s="10"/>
      <c r="BQ45" s="10"/>
      <c r="BR45" s="10"/>
      <c r="BS45" s="230">
        <f t="shared" si="3"/>
        <v>26023231.748999998</v>
      </c>
      <c r="BT45" s="230">
        <f t="shared" si="4"/>
        <v>1062760.036</v>
      </c>
      <c r="BU45" s="230">
        <f t="shared" si="5"/>
        <v>12118823.901</v>
      </c>
      <c r="BV45" s="230">
        <f t="shared" si="6"/>
        <v>8242735.573000001</v>
      </c>
      <c r="BW45" s="230">
        <f>SUM(BT45:BV45)</f>
        <v>21424319.51</v>
      </c>
      <c r="BX45" s="230">
        <f t="shared" si="1"/>
        <v>4598912.239</v>
      </c>
      <c r="BY45" s="230"/>
      <c r="BZ45" s="230">
        <f t="shared" si="2"/>
        <v>26023231.749</v>
      </c>
    </row>
    <row r="46" spans="1:78" ht="12.75">
      <c r="A46" s="243" t="s">
        <v>543</v>
      </c>
      <c r="B46" s="10">
        <f>7281681.084-361946-767466</f>
        <v>6152269.084</v>
      </c>
      <c r="C46" s="10">
        <v>3000690.128</v>
      </c>
      <c r="D46" s="10">
        <v>5816301.251</v>
      </c>
      <c r="E46" s="10">
        <v>3677049.392</v>
      </c>
      <c r="F46" s="10">
        <v>1590802.991</v>
      </c>
      <c r="G46" s="10">
        <v>1847883.555</v>
      </c>
      <c r="H46" s="10">
        <f>2061115.031+45348.644-4496.494+1128539.123</f>
        <v>3230506.3039999995</v>
      </c>
      <c r="I46" s="10">
        <f>880054.633+107630.886</f>
        <v>987685.5190000001</v>
      </c>
      <c r="J46" s="10">
        <v>665582.876</v>
      </c>
      <c r="K46" s="10">
        <v>1121160.103</v>
      </c>
      <c r="L46" s="10">
        <v>1475258.64</v>
      </c>
      <c r="M46" s="10">
        <v>1412211.883</v>
      </c>
      <c r="N46" s="10">
        <v>1520576.749</v>
      </c>
      <c r="O46" s="10">
        <v>1361405.056</v>
      </c>
      <c r="P46" s="10">
        <v>592000</v>
      </c>
      <c r="Q46" s="10">
        <v>674356.363</v>
      </c>
      <c r="R46" s="10">
        <v>257186</v>
      </c>
      <c r="S46" s="10">
        <v>702686.434</v>
      </c>
      <c r="T46" s="10">
        <v>561751.102</v>
      </c>
      <c r="U46" s="10">
        <v>2680444.236</v>
      </c>
      <c r="V46" s="10">
        <v>499558.724</v>
      </c>
      <c r="W46" s="10">
        <v>1584527.033</v>
      </c>
      <c r="X46" s="10">
        <v>276942.724</v>
      </c>
      <c r="Y46" s="10">
        <v>805597.148</v>
      </c>
      <c r="Z46" s="10">
        <v>512248.489</v>
      </c>
      <c r="AA46" s="10">
        <f>11648+4091</f>
        <v>15739</v>
      </c>
      <c r="AB46" s="10">
        <v>42801.719</v>
      </c>
      <c r="AC46" s="10">
        <v>353320.453</v>
      </c>
      <c r="AD46" s="10">
        <v>193918.411</v>
      </c>
      <c r="AE46" s="10">
        <v>63811.064</v>
      </c>
      <c r="AF46" s="10">
        <v>313264.8</v>
      </c>
      <c r="AG46" s="10">
        <v>1716569.116</v>
      </c>
      <c r="AH46" s="10">
        <v>246393.671</v>
      </c>
      <c r="AI46" s="10">
        <v>297694.824</v>
      </c>
      <c r="AJ46" s="10">
        <v>500000</v>
      </c>
      <c r="AK46" s="10">
        <v>227132.397</v>
      </c>
      <c r="AL46" s="10">
        <v>207722.006</v>
      </c>
      <c r="AM46" s="10">
        <v>320968.606</v>
      </c>
      <c r="AN46" s="10">
        <v>32554.716</v>
      </c>
      <c r="AO46" s="10">
        <v>444061.616</v>
      </c>
      <c r="AP46" s="10">
        <f>34974.187+100922.268</f>
        <v>135896.455</v>
      </c>
      <c r="AQ46" s="10">
        <v>162733.715</v>
      </c>
      <c r="AR46" s="10">
        <v>28208.446</v>
      </c>
      <c r="AS46" s="10">
        <v>327628.643</v>
      </c>
      <c r="AT46" s="10">
        <v>112632.322</v>
      </c>
      <c r="AU46" s="10">
        <v>353354.466</v>
      </c>
      <c r="AV46" s="10">
        <v>151604.4</v>
      </c>
      <c r="AW46" s="10">
        <v>99358.796</v>
      </c>
      <c r="AX46" s="10">
        <v>58581.057</v>
      </c>
      <c r="AY46" s="10">
        <v>75362.291</v>
      </c>
      <c r="AZ46" s="10">
        <v>39567.363</v>
      </c>
      <c r="BA46" s="10">
        <v>111180.088</v>
      </c>
      <c r="BB46" s="10">
        <v>29863.808</v>
      </c>
      <c r="BC46" s="10">
        <v>64927.093</v>
      </c>
      <c r="BD46" s="10">
        <v>40000</v>
      </c>
      <c r="BE46" s="10">
        <v>0</v>
      </c>
      <c r="BF46" s="10">
        <v>1000</v>
      </c>
      <c r="BG46" s="10">
        <v>361768.05</v>
      </c>
      <c r="BH46" s="10">
        <v>19753.916</v>
      </c>
      <c r="BI46" s="10">
        <v>9776.131</v>
      </c>
      <c r="BJ46" s="10">
        <v>10837.861</v>
      </c>
      <c r="BK46" s="10">
        <v>1592.178</v>
      </c>
      <c r="BL46" s="10">
        <v>0</v>
      </c>
      <c r="BM46" s="10">
        <v>9745.822</v>
      </c>
      <c r="BN46" s="10">
        <v>800</v>
      </c>
      <c r="BO46" s="10">
        <v>0</v>
      </c>
      <c r="BP46" s="10"/>
      <c r="BQ46" s="10"/>
      <c r="BR46" s="10"/>
      <c r="BS46" s="230">
        <f t="shared" si="3"/>
        <v>50188807.08399997</v>
      </c>
      <c r="BT46" s="230">
        <f t="shared" si="4"/>
        <v>7683643.614000002</v>
      </c>
      <c r="BU46" s="230">
        <f t="shared" si="5"/>
        <v>17762283.131</v>
      </c>
      <c r="BV46" s="230">
        <f t="shared" si="6"/>
        <v>18695952.449</v>
      </c>
      <c r="BW46" s="230">
        <f aca="true" t="shared" si="16" ref="BW46:BW57">SUM(BT46:BV46)</f>
        <v>44141879.194000006</v>
      </c>
      <c r="BX46" s="230">
        <f t="shared" si="1"/>
        <v>6046927.890000001</v>
      </c>
      <c r="BY46" s="230"/>
      <c r="BZ46" s="230">
        <f t="shared" si="2"/>
        <v>50188807.08400001</v>
      </c>
    </row>
    <row r="47" spans="1:78" ht="12.75">
      <c r="A47" s="243" t="s">
        <v>544</v>
      </c>
      <c r="B47" s="10">
        <f>361946+767466</f>
        <v>1129412</v>
      </c>
      <c r="C47" s="10">
        <v>900951.575</v>
      </c>
      <c r="D47" s="10">
        <v>225086</v>
      </c>
      <c r="E47" s="10">
        <v>177634.507</v>
      </c>
      <c r="F47" s="10">
        <v>753929.683</v>
      </c>
      <c r="G47" s="10">
        <v>0</v>
      </c>
      <c r="H47" s="10">
        <v>4496.494</v>
      </c>
      <c r="I47" s="10">
        <v>0</v>
      </c>
      <c r="J47" s="10">
        <v>218056.806</v>
      </c>
      <c r="K47" s="10">
        <v>655141.374</v>
      </c>
      <c r="L47" s="10">
        <v>136613</v>
      </c>
      <c r="M47" s="10">
        <v>43914.112</v>
      </c>
      <c r="N47" s="10">
        <v>105395.33</v>
      </c>
      <c r="O47" s="10">
        <v>42530.845</v>
      </c>
      <c r="P47" s="10">
        <v>61700</v>
      </c>
      <c r="Q47" s="10">
        <v>0</v>
      </c>
      <c r="R47" s="10">
        <v>211031</v>
      </c>
      <c r="S47" s="10">
        <v>35.421</v>
      </c>
      <c r="T47" s="10">
        <v>143170</v>
      </c>
      <c r="U47" s="10">
        <v>43565</v>
      </c>
      <c r="V47" s="10">
        <v>72688.648</v>
      </c>
      <c r="W47" s="10">
        <v>47951.835</v>
      </c>
      <c r="X47" s="10">
        <v>5846</v>
      </c>
      <c r="Y47" s="10">
        <v>0</v>
      </c>
      <c r="Z47" s="10">
        <v>48123.299</v>
      </c>
      <c r="AA47" s="10">
        <v>109241</v>
      </c>
      <c r="AB47" s="10">
        <v>207636.562</v>
      </c>
      <c r="AC47" s="10">
        <v>0</v>
      </c>
      <c r="AD47" s="10">
        <v>292255.963</v>
      </c>
      <c r="AE47" s="10">
        <f>148071.443+34350</f>
        <v>182421.443</v>
      </c>
      <c r="AF47" s="10">
        <v>0</v>
      </c>
      <c r="AG47" s="10">
        <v>0</v>
      </c>
      <c r="AH47" s="10">
        <v>8200</v>
      </c>
      <c r="AI47" s="10">
        <v>5400</v>
      </c>
      <c r="AJ47" s="10">
        <v>0</v>
      </c>
      <c r="AK47" s="10">
        <v>5750</v>
      </c>
      <c r="AL47" s="10">
        <v>10022.041</v>
      </c>
      <c r="AM47" s="10">
        <v>9230</v>
      </c>
      <c r="AN47" s="10">
        <v>103584.141</v>
      </c>
      <c r="AO47" s="10">
        <v>15962.905</v>
      </c>
      <c r="AP47" s="10">
        <v>10460</v>
      </c>
      <c r="AQ47" s="10">
        <v>1100</v>
      </c>
      <c r="AR47" s="10">
        <v>14050</v>
      </c>
      <c r="AS47" s="10">
        <v>0</v>
      </c>
      <c r="AT47" s="10">
        <v>0</v>
      </c>
      <c r="AU47" s="10">
        <v>50603.991</v>
      </c>
      <c r="AV47" s="10"/>
      <c r="AW47" s="10">
        <v>9850</v>
      </c>
      <c r="AX47" s="10">
        <v>0</v>
      </c>
      <c r="AY47" s="10">
        <v>0</v>
      </c>
      <c r="AZ47" s="10">
        <v>3963.232</v>
      </c>
      <c r="BA47" s="10">
        <v>0</v>
      </c>
      <c r="BB47" s="10">
        <v>1114</v>
      </c>
      <c r="BC47" s="10">
        <v>0</v>
      </c>
      <c r="BD47" s="10">
        <v>0</v>
      </c>
      <c r="BE47" s="10">
        <v>0</v>
      </c>
      <c r="BF47" s="10">
        <v>24189.209</v>
      </c>
      <c r="BG47" s="10">
        <v>0</v>
      </c>
      <c r="BH47" s="10">
        <v>0</v>
      </c>
      <c r="BI47" s="10">
        <v>0</v>
      </c>
      <c r="BJ47" s="10">
        <v>6096.272</v>
      </c>
      <c r="BK47" s="10">
        <v>0</v>
      </c>
      <c r="BL47" s="10">
        <v>0</v>
      </c>
      <c r="BM47" s="10">
        <v>0</v>
      </c>
      <c r="BN47" s="10">
        <v>0</v>
      </c>
      <c r="BO47" s="10">
        <v>0</v>
      </c>
      <c r="BP47" s="10"/>
      <c r="BQ47" s="10"/>
      <c r="BR47" s="10"/>
      <c r="BS47" s="230">
        <f t="shared" si="3"/>
        <v>6098403.688</v>
      </c>
      <c r="BT47" s="230">
        <f t="shared" si="4"/>
        <v>1619460.327</v>
      </c>
      <c r="BU47" s="230">
        <f t="shared" si="5"/>
        <v>1954436.7349999999</v>
      </c>
      <c r="BV47" s="230">
        <f t="shared" si="6"/>
        <v>2405272.315</v>
      </c>
      <c r="BW47" s="230">
        <f t="shared" si="16"/>
        <v>5979169.377</v>
      </c>
      <c r="BX47" s="230">
        <f t="shared" si="1"/>
        <v>119234.31099999999</v>
      </c>
      <c r="BY47" s="230"/>
      <c r="BZ47" s="230">
        <f t="shared" si="2"/>
        <v>6098403.688</v>
      </c>
    </row>
    <row r="48" spans="1:78" ht="12.75">
      <c r="A48" s="243" t="s">
        <v>617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61176.312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24889.652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282712.598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6219.982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  <c r="BO48" s="10">
        <v>0</v>
      </c>
      <c r="BP48" s="10"/>
      <c r="BQ48" s="10"/>
      <c r="BR48" s="10"/>
      <c r="BS48" s="230">
        <f t="shared" si="3"/>
        <v>374998.544</v>
      </c>
      <c r="BT48" s="230">
        <f t="shared" si="4"/>
        <v>0</v>
      </c>
      <c r="BU48" s="230">
        <f t="shared" si="5"/>
        <v>374998.544</v>
      </c>
      <c r="BV48" s="230">
        <f t="shared" si="6"/>
        <v>0</v>
      </c>
      <c r="BW48" s="230">
        <f t="shared" si="16"/>
        <v>374998.544</v>
      </c>
      <c r="BX48" s="230">
        <f t="shared" si="1"/>
        <v>0</v>
      </c>
      <c r="BY48" s="230"/>
      <c r="BZ48" s="230">
        <f t="shared" si="2"/>
        <v>374998.544</v>
      </c>
    </row>
    <row r="49" spans="1:78" ht="12.75">
      <c r="A49" s="100" t="s">
        <v>545</v>
      </c>
      <c r="B49" s="10">
        <v>8747.224</v>
      </c>
      <c r="C49" s="10">
        <v>0</v>
      </c>
      <c r="D49" s="10">
        <v>1070.999</v>
      </c>
      <c r="E49" s="10">
        <v>2612.661</v>
      </c>
      <c r="F49" s="10">
        <v>0</v>
      </c>
      <c r="G49" s="10">
        <v>0</v>
      </c>
      <c r="H49" s="10">
        <v>0</v>
      </c>
      <c r="I49" s="10">
        <v>42542.802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1173.857</v>
      </c>
      <c r="R49" s="10">
        <v>1360.14</v>
      </c>
      <c r="S49" s="10">
        <v>1106.598</v>
      </c>
      <c r="T49" s="10">
        <v>0</v>
      </c>
      <c r="U49" s="10">
        <v>0</v>
      </c>
      <c r="V49" s="10">
        <v>0</v>
      </c>
      <c r="W49" s="10">
        <v>0</v>
      </c>
      <c r="X49" s="10">
        <v>274.171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724.065</v>
      </c>
      <c r="AF49" s="10">
        <v>0</v>
      </c>
      <c r="AG49" s="10">
        <v>0</v>
      </c>
      <c r="AH49" s="10">
        <v>0</v>
      </c>
      <c r="AI49" s="10">
        <v>0</v>
      </c>
      <c r="AJ49" s="10">
        <v>458.461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151.028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/>
      <c r="BQ49" s="10"/>
      <c r="BR49" s="10"/>
      <c r="BS49" s="230">
        <f t="shared" si="3"/>
        <v>60222.00600000001</v>
      </c>
      <c r="BT49" s="230">
        <f t="shared" si="4"/>
        <v>0</v>
      </c>
      <c r="BU49" s="230">
        <f t="shared" si="5"/>
        <v>4235.114</v>
      </c>
      <c r="BV49" s="230">
        <f t="shared" si="6"/>
        <v>55986.89200000001</v>
      </c>
      <c r="BW49" s="230">
        <f t="shared" si="16"/>
        <v>60222.00600000001</v>
      </c>
      <c r="BX49" s="230">
        <f t="shared" si="1"/>
        <v>0</v>
      </c>
      <c r="BY49" s="230"/>
      <c r="BZ49" s="230">
        <f t="shared" si="2"/>
        <v>60222.00600000001</v>
      </c>
    </row>
    <row r="50" spans="1:78" ht="13.5" customHeight="1">
      <c r="A50" s="100" t="s">
        <v>546</v>
      </c>
      <c r="B50" s="12">
        <v>47000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233.333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288.722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/>
      <c r="BQ50" s="12"/>
      <c r="BR50" s="12"/>
      <c r="BS50" s="230">
        <f t="shared" si="3"/>
        <v>47522.055</v>
      </c>
      <c r="BT50" s="230">
        <f t="shared" si="4"/>
        <v>0</v>
      </c>
      <c r="BU50" s="230">
        <f t="shared" si="5"/>
        <v>233.333</v>
      </c>
      <c r="BV50" s="230">
        <f t="shared" si="6"/>
        <v>47288.722</v>
      </c>
      <c r="BW50" s="230">
        <f t="shared" si="16"/>
        <v>47522.055</v>
      </c>
      <c r="BX50" s="230">
        <f t="shared" si="1"/>
        <v>0</v>
      </c>
      <c r="BY50" s="230"/>
      <c r="BZ50" s="230">
        <f t="shared" si="2"/>
        <v>47522.055</v>
      </c>
    </row>
    <row r="51" spans="1:78" ht="13.5" customHeight="1">
      <c r="A51" s="244" t="s">
        <v>621</v>
      </c>
      <c r="B51" s="226">
        <f>SUM(B45:B50)</f>
        <v>9137164.757</v>
      </c>
      <c r="C51" s="226">
        <f aca="true" t="shared" si="17" ref="C51:AR51">SUM(C45:C50)</f>
        <v>4517944.571</v>
      </c>
      <c r="D51" s="226">
        <f t="shared" si="17"/>
        <v>8919949.728</v>
      </c>
      <c r="E51" s="226">
        <f t="shared" si="17"/>
        <v>4723840.632</v>
      </c>
      <c r="F51" s="226">
        <f t="shared" si="17"/>
        <v>5770467.873</v>
      </c>
      <c r="G51" s="226">
        <f t="shared" si="17"/>
        <v>2186513.16</v>
      </c>
      <c r="H51" s="226">
        <f t="shared" si="17"/>
        <v>4875797.235999999</v>
      </c>
      <c r="I51" s="226">
        <f t="shared" si="17"/>
        <v>1581275.4039999999</v>
      </c>
      <c r="J51" s="226">
        <f t="shared" si="17"/>
        <v>1870683.6</v>
      </c>
      <c r="K51" s="226">
        <f>SUM(K45:K50)</f>
        <v>2390987.7759999996</v>
      </c>
      <c r="L51" s="226">
        <f t="shared" si="17"/>
        <v>4077030.2</v>
      </c>
      <c r="M51" s="226">
        <f t="shared" si="17"/>
        <v>2332410.506</v>
      </c>
      <c r="N51" s="226">
        <f aca="true" t="shared" si="18" ref="N51:Z51">SUM(N45:N50)</f>
        <v>1841514.5760000001</v>
      </c>
      <c r="O51" s="226">
        <f t="shared" si="18"/>
        <v>2322030.9320000005</v>
      </c>
      <c r="P51" s="226">
        <f t="shared" si="18"/>
        <v>653700</v>
      </c>
      <c r="Q51" s="226">
        <f t="shared" si="18"/>
        <v>981928.448</v>
      </c>
      <c r="R51" s="226">
        <f t="shared" si="18"/>
        <v>1106568.862</v>
      </c>
      <c r="S51" s="226">
        <f t="shared" si="18"/>
        <v>924281.1579999999</v>
      </c>
      <c r="T51" s="226">
        <f t="shared" si="18"/>
        <v>939777.02</v>
      </c>
      <c r="U51" s="226">
        <f t="shared" si="18"/>
        <v>2794009.236</v>
      </c>
      <c r="V51" s="226">
        <f t="shared" si="18"/>
        <v>710018.816</v>
      </c>
      <c r="W51" s="226">
        <f t="shared" si="18"/>
        <v>1932094.18</v>
      </c>
      <c r="X51" s="226">
        <f t="shared" si="18"/>
        <v>801648.686</v>
      </c>
      <c r="Y51" s="226">
        <f t="shared" si="18"/>
        <v>3621370.819</v>
      </c>
      <c r="Z51" s="226">
        <f t="shared" si="18"/>
        <v>884355.086</v>
      </c>
      <c r="AA51" s="226">
        <f t="shared" si="17"/>
        <v>124980</v>
      </c>
      <c r="AB51" s="226">
        <f>SUM(AB45:AB50)</f>
        <v>366896.79099999997</v>
      </c>
      <c r="AC51" s="226">
        <f>SUM(AC45:AC50)</f>
        <v>384434.98699999996</v>
      </c>
      <c r="AD51" s="226">
        <f>SUM(AD45:AD50)</f>
        <v>486174.37399999995</v>
      </c>
      <c r="AE51" s="226">
        <f>SUM(AE45:AE50)</f>
        <v>629246.4619999999</v>
      </c>
      <c r="AF51" s="226">
        <f t="shared" si="17"/>
        <v>403265.06</v>
      </c>
      <c r="AG51" s="226">
        <f>SUM(AG45:AG50)</f>
        <v>2206208.013</v>
      </c>
      <c r="AH51" s="226">
        <f t="shared" si="17"/>
        <v>330923.524</v>
      </c>
      <c r="AI51" s="226">
        <f t="shared" si="17"/>
        <v>383385.767</v>
      </c>
      <c r="AJ51" s="226">
        <f t="shared" si="17"/>
        <v>500458.461</v>
      </c>
      <c r="AK51" s="226">
        <f t="shared" si="17"/>
        <v>371209.628</v>
      </c>
      <c r="AL51" s="226">
        <f t="shared" si="17"/>
        <v>279171.379</v>
      </c>
      <c r="AM51" s="226">
        <f t="shared" si="17"/>
        <v>518358.995</v>
      </c>
      <c r="AN51" s="226">
        <f t="shared" si="17"/>
        <v>180732.328</v>
      </c>
      <c r="AO51" s="226">
        <f>SUM(AO45:AO50)</f>
        <v>890082.995</v>
      </c>
      <c r="AP51" s="226">
        <f t="shared" si="17"/>
        <v>173267.106</v>
      </c>
      <c r="AQ51" s="226">
        <f>SUM(AQ45:AQ50)</f>
        <v>239569.816</v>
      </c>
      <c r="AR51" s="226">
        <f t="shared" si="17"/>
        <v>113744.788</v>
      </c>
      <c r="AS51" s="226">
        <f aca="true" t="shared" si="19" ref="AS51:BO51">SUM(AS45:AS50)</f>
        <v>434957.99</v>
      </c>
      <c r="AT51" s="226">
        <f t="shared" si="19"/>
        <v>140980.58699999997</v>
      </c>
      <c r="AU51" s="226">
        <f>SUM(AU45:AU50)</f>
        <v>440064.901</v>
      </c>
      <c r="AV51" s="226">
        <f t="shared" si="19"/>
        <v>211870.24</v>
      </c>
      <c r="AW51" s="226">
        <f t="shared" si="19"/>
        <v>109208.796</v>
      </c>
      <c r="AX51" s="226">
        <f t="shared" si="19"/>
        <v>58581.057</v>
      </c>
      <c r="AY51" s="226">
        <f t="shared" si="19"/>
        <v>92862.291</v>
      </c>
      <c r="AZ51" s="226">
        <f t="shared" si="19"/>
        <v>43530.595</v>
      </c>
      <c r="BA51" s="226">
        <f t="shared" si="19"/>
        <v>154649.481</v>
      </c>
      <c r="BB51" s="226">
        <f t="shared" si="19"/>
        <v>30977.808</v>
      </c>
      <c r="BC51" s="226">
        <f t="shared" si="19"/>
        <v>91465.459</v>
      </c>
      <c r="BD51" s="226">
        <f t="shared" si="19"/>
        <v>40000</v>
      </c>
      <c r="BE51" s="226">
        <f t="shared" si="19"/>
        <v>0</v>
      </c>
      <c r="BF51" s="226">
        <f>SUM(BF45:BF50)</f>
        <v>25189.209</v>
      </c>
      <c r="BG51" s="226">
        <f t="shared" si="19"/>
        <v>368986.852</v>
      </c>
      <c r="BH51" s="226">
        <f t="shared" si="19"/>
        <v>25448.916</v>
      </c>
      <c r="BI51" s="226">
        <f t="shared" si="19"/>
        <v>15865.075</v>
      </c>
      <c r="BJ51" s="226">
        <f t="shared" si="19"/>
        <v>16934.133</v>
      </c>
      <c r="BK51" s="226">
        <f t="shared" si="19"/>
        <v>1592.178</v>
      </c>
      <c r="BL51" s="226">
        <f t="shared" si="19"/>
        <v>0</v>
      </c>
      <c r="BM51" s="226">
        <f t="shared" si="19"/>
        <v>9745.822</v>
      </c>
      <c r="BN51" s="226">
        <f t="shared" si="19"/>
        <v>800</v>
      </c>
      <c r="BO51" s="226">
        <f t="shared" si="19"/>
        <v>0</v>
      </c>
      <c r="BP51" s="226"/>
      <c r="BQ51" s="226"/>
      <c r="BR51" s="226"/>
      <c r="BS51" s="230">
        <f t="shared" si="3"/>
        <v>82793185.126</v>
      </c>
      <c r="BT51" s="230">
        <f t="shared" si="4"/>
        <v>10365863.977</v>
      </c>
      <c r="BU51" s="230">
        <f t="shared" si="5"/>
        <v>32215010.758</v>
      </c>
      <c r="BV51" s="230">
        <f t="shared" si="6"/>
        <v>29447235.950999998</v>
      </c>
      <c r="BW51" s="230">
        <f t="shared" si="16"/>
        <v>72028110.68599999</v>
      </c>
      <c r="BX51" s="230">
        <f t="shared" si="1"/>
        <v>10765074.439999998</v>
      </c>
      <c r="BY51" s="230"/>
      <c r="BZ51" s="230">
        <f t="shared" si="2"/>
        <v>82793185.12599999</v>
      </c>
    </row>
    <row r="52" spans="1:78" ht="18" customHeight="1">
      <c r="A52" s="100"/>
      <c r="B52" s="12"/>
      <c r="C52" s="12"/>
      <c r="D52" s="12"/>
      <c r="E52" s="12"/>
      <c r="F52" s="13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2"/>
      <c r="R52" s="12"/>
      <c r="S52" s="13"/>
      <c r="T52" s="12"/>
      <c r="U52" s="13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3"/>
      <c r="AH52" s="12"/>
      <c r="AI52" s="13"/>
      <c r="AJ52" s="12"/>
      <c r="AK52" s="12"/>
      <c r="AL52" s="12"/>
      <c r="AM52" s="12"/>
      <c r="AN52" s="12"/>
      <c r="AO52" s="12"/>
      <c r="AP52" s="13"/>
      <c r="AQ52" s="12"/>
      <c r="AR52" s="12"/>
      <c r="AS52" s="12"/>
      <c r="AT52" s="12"/>
      <c r="AU52" s="12"/>
      <c r="AV52" s="13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3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230"/>
      <c r="BT52" s="230"/>
      <c r="BU52" s="230"/>
      <c r="BV52" s="230"/>
      <c r="BW52" s="230"/>
      <c r="BX52" s="230"/>
      <c r="BY52" s="230"/>
      <c r="BZ52" s="230"/>
    </row>
    <row r="53" spans="1:78" ht="12.75">
      <c r="A53" s="102" t="s">
        <v>547</v>
      </c>
      <c r="B53" s="226">
        <f aca="true" t="shared" si="20" ref="B53:AH53">B42-B51</f>
        <v>-17346.28099999763</v>
      </c>
      <c r="C53" s="226">
        <f t="shared" si="20"/>
        <v>-61564.30100000091</v>
      </c>
      <c r="D53" s="226">
        <f t="shared" si="20"/>
        <v>-19493.616000000387</v>
      </c>
      <c r="E53" s="226">
        <f t="shared" si="20"/>
        <v>22500.841000000015</v>
      </c>
      <c r="F53" s="226">
        <f t="shared" si="20"/>
        <v>121109.22899999935</v>
      </c>
      <c r="G53" s="226">
        <f t="shared" si="20"/>
        <v>27930.61699999962</v>
      </c>
      <c r="H53" s="226">
        <f t="shared" si="20"/>
        <v>2114.213000001386</v>
      </c>
      <c r="I53" s="226">
        <f t="shared" si="20"/>
        <v>50856.05199999991</v>
      </c>
      <c r="J53" s="226">
        <f t="shared" si="20"/>
        <v>48118.33899999992</v>
      </c>
      <c r="K53" s="226">
        <f t="shared" si="20"/>
        <v>23992.51500000013</v>
      </c>
      <c r="L53" s="226">
        <f t="shared" si="20"/>
        <v>-99711.10100000026</v>
      </c>
      <c r="M53" s="226">
        <f t="shared" si="20"/>
        <v>-2402.5719999996945</v>
      </c>
      <c r="N53" s="226">
        <f t="shared" si="20"/>
        <v>21564.296999999555</v>
      </c>
      <c r="O53" s="226">
        <f t="shared" si="20"/>
        <v>8821.32099999953</v>
      </c>
      <c r="P53" s="226">
        <f t="shared" si="20"/>
        <v>83301.31400000001</v>
      </c>
      <c r="Q53" s="226">
        <f t="shared" si="20"/>
        <v>31173.102000000305</v>
      </c>
      <c r="R53" s="226">
        <f t="shared" si="20"/>
        <v>73530.69900000026</v>
      </c>
      <c r="S53" s="226">
        <f t="shared" si="20"/>
        <v>14437.371000000276</v>
      </c>
      <c r="T53" s="226">
        <f t="shared" si="20"/>
        <v>11974.967999999877</v>
      </c>
      <c r="U53" s="226">
        <f t="shared" si="20"/>
        <v>-13127.706000000238</v>
      </c>
      <c r="V53" s="226">
        <f t="shared" si="20"/>
        <v>23212.072999999975</v>
      </c>
      <c r="W53" s="226">
        <f t="shared" si="20"/>
        <v>7268.556000000099</v>
      </c>
      <c r="X53" s="226">
        <f t="shared" si="20"/>
        <v>-320835.157</v>
      </c>
      <c r="Y53" s="226">
        <f t="shared" si="20"/>
        <v>-32015.01199999964</v>
      </c>
      <c r="Z53" s="226">
        <f t="shared" si="20"/>
        <v>2306.780000000028</v>
      </c>
      <c r="AA53" s="226">
        <f t="shared" si="20"/>
        <v>-0.2339999999385327</v>
      </c>
      <c r="AB53" s="226">
        <f t="shared" si="20"/>
        <v>43915.42600000015</v>
      </c>
      <c r="AC53" s="226">
        <f t="shared" si="20"/>
        <v>-20831.69099999999</v>
      </c>
      <c r="AD53" s="226">
        <f t="shared" si="20"/>
        <v>3745.9650000000256</v>
      </c>
      <c r="AE53" s="226">
        <f t="shared" si="20"/>
        <v>-348.7270000000717</v>
      </c>
      <c r="AF53" s="226">
        <f t="shared" si="20"/>
        <v>1593.4259999999776</v>
      </c>
      <c r="AG53" s="226">
        <f t="shared" si="20"/>
        <v>-4802.373999999836</v>
      </c>
      <c r="AH53" s="226">
        <f t="shared" si="20"/>
        <v>1265.9360000000452</v>
      </c>
      <c r="AI53" s="226">
        <f aca="true" t="shared" si="21" ref="AI53:AR53">AI42-AI51</f>
        <v>7939.431999999972</v>
      </c>
      <c r="AJ53" s="226">
        <f t="shared" si="21"/>
        <v>-326978.36600000004</v>
      </c>
      <c r="AK53" s="226">
        <f t="shared" si="21"/>
        <v>-9795.049000000057</v>
      </c>
      <c r="AL53" s="226">
        <f t="shared" si="21"/>
        <v>-1582.021000000008</v>
      </c>
      <c r="AM53" s="226">
        <f t="shared" si="21"/>
        <v>-575.9510000000009</v>
      </c>
      <c r="AN53" s="226">
        <f t="shared" si="21"/>
        <v>2425.8099999999686</v>
      </c>
      <c r="AO53" s="226">
        <f>AO42-AO51</f>
        <v>-19977.496999999974</v>
      </c>
      <c r="AP53" s="226">
        <f t="shared" si="21"/>
        <v>-1033.9090000000142</v>
      </c>
      <c r="AQ53" s="226">
        <f>AQ42-AQ51</f>
        <v>-2955.2600000000384</v>
      </c>
      <c r="AR53" s="226">
        <f t="shared" si="21"/>
        <v>7.3659999999945285</v>
      </c>
      <c r="AS53" s="226">
        <f aca="true" t="shared" si="22" ref="AS53:BO53">AS42-AS51</f>
        <v>2844.0280000000494</v>
      </c>
      <c r="AT53" s="226">
        <f t="shared" si="22"/>
        <v>-723.4039999999804</v>
      </c>
      <c r="AU53" s="226">
        <f>AU42-AU51</f>
        <v>134344.24300000007</v>
      </c>
      <c r="AV53" s="226">
        <f t="shared" si="22"/>
        <v>71.50799999997253</v>
      </c>
      <c r="AW53" s="226">
        <f t="shared" si="22"/>
        <v>-2804.24099999998</v>
      </c>
      <c r="AX53" s="226">
        <f t="shared" si="22"/>
        <v>3462.1440000000002</v>
      </c>
      <c r="AY53" s="226">
        <f t="shared" si="22"/>
        <v>1548.826000000001</v>
      </c>
      <c r="AZ53" s="226">
        <f t="shared" si="22"/>
        <v>-6238.441000000006</v>
      </c>
      <c r="BA53" s="226">
        <f t="shared" si="22"/>
        <v>663.7380000000121</v>
      </c>
      <c r="BB53" s="226">
        <f t="shared" si="22"/>
        <v>6709.595000000005</v>
      </c>
      <c r="BC53" s="226">
        <f t="shared" si="22"/>
        <v>-2926.7839999999997</v>
      </c>
      <c r="BD53" s="226">
        <f t="shared" si="22"/>
        <v>376.07800000000134</v>
      </c>
      <c r="BE53" s="226">
        <f t="shared" si="22"/>
        <v>5394.350999999995</v>
      </c>
      <c r="BF53" s="226">
        <f>BF42-BF51</f>
        <v>1089.8780000000006</v>
      </c>
      <c r="BG53" s="226">
        <f t="shared" si="22"/>
        <v>15322.361999999965</v>
      </c>
      <c r="BH53" s="226">
        <f t="shared" si="22"/>
        <v>6575.581000000006</v>
      </c>
      <c r="BI53" s="226">
        <f t="shared" si="22"/>
        <v>-4584.257000000001</v>
      </c>
      <c r="BJ53" s="226">
        <f t="shared" si="22"/>
        <v>-2301.517</v>
      </c>
      <c r="BK53" s="226">
        <f t="shared" si="22"/>
        <v>-1392.927</v>
      </c>
      <c r="BL53" s="226">
        <f t="shared" si="22"/>
        <v>94</v>
      </c>
      <c r="BM53" s="226">
        <f t="shared" si="22"/>
        <v>665.8189999999995</v>
      </c>
      <c r="BN53" s="226">
        <f t="shared" si="22"/>
        <v>10847.206999999995</v>
      </c>
      <c r="BO53" s="226">
        <f t="shared" si="22"/>
        <v>1560.403000000002</v>
      </c>
      <c r="BP53" s="226"/>
      <c r="BQ53" s="226"/>
      <c r="BR53" s="226"/>
      <c r="BS53" s="230">
        <f t="shared" si="3"/>
        <v>-149672.98699999828</v>
      </c>
      <c r="BT53" s="230">
        <f t="shared" si="4"/>
        <v>65919.85099999887</v>
      </c>
      <c r="BU53" s="230">
        <f t="shared" si="5"/>
        <v>-412727.59299999924</v>
      </c>
      <c r="BV53" s="230">
        <f t="shared" si="6"/>
        <v>235365.20800000144</v>
      </c>
      <c r="BW53" s="230">
        <f t="shared" si="16"/>
        <v>-111442.53399999894</v>
      </c>
      <c r="BX53" s="230">
        <f t="shared" si="1"/>
        <v>-38230.45299999933</v>
      </c>
      <c r="BY53" s="230"/>
      <c r="BZ53" s="230">
        <f t="shared" si="2"/>
        <v>-149672.98699999828</v>
      </c>
    </row>
    <row r="54" spans="1:78" ht="12.75">
      <c r="A54" s="10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2"/>
      <c r="R54" s="12"/>
      <c r="S54" s="13"/>
      <c r="T54" s="12"/>
      <c r="U54" s="13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3"/>
      <c r="AH54" s="12"/>
      <c r="AI54" s="13"/>
      <c r="AJ54" s="12"/>
      <c r="AK54" s="12"/>
      <c r="AL54" s="12"/>
      <c r="AM54" s="12"/>
      <c r="AN54" s="12"/>
      <c r="AO54" s="12"/>
      <c r="AP54" s="13"/>
      <c r="AQ54" s="12"/>
      <c r="AR54" s="12"/>
      <c r="AS54" s="12"/>
      <c r="AT54" s="12"/>
      <c r="AU54" s="12"/>
      <c r="AV54" s="13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3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230"/>
      <c r="BT54" s="230"/>
      <c r="BU54" s="230"/>
      <c r="BV54" s="230"/>
      <c r="BW54" s="230"/>
      <c r="BX54" s="230"/>
      <c r="BY54" s="230"/>
      <c r="BZ54" s="230"/>
    </row>
    <row r="55" spans="1:78" ht="17.25" customHeight="1">
      <c r="A55" s="102" t="s">
        <v>548</v>
      </c>
      <c r="B55" s="12">
        <v>487575.85</v>
      </c>
      <c r="C55" s="12">
        <v>177931.231</v>
      </c>
      <c r="D55" s="12">
        <v>103726.686</v>
      </c>
      <c r="E55" s="12">
        <v>178386.839</v>
      </c>
      <c r="F55" s="12">
        <v>19517.33</v>
      </c>
      <c r="G55" s="12">
        <v>44686.624</v>
      </c>
      <c r="H55" s="12">
        <v>13818.305</v>
      </c>
      <c r="I55" s="12">
        <v>104915.828</v>
      </c>
      <c r="J55" s="12">
        <v>38525.348</v>
      </c>
      <c r="K55" s="12">
        <v>33780.771</v>
      </c>
      <c r="L55" s="12">
        <v>137666.44</v>
      </c>
      <c r="M55" s="12">
        <v>10630.965</v>
      </c>
      <c r="N55" s="12">
        <v>26114.132</v>
      </c>
      <c r="O55" s="12">
        <v>59492.669</v>
      </c>
      <c r="P55" s="12">
        <v>682513.724</v>
      </c>
      <c r="Q55" s="12">
        <v>14089.051</v>
      </c>
      <c r="R55" s="12">
        <v>114027.815</v>
      </c>
      <c r="S55" s="12">
        <v>184572.244</v>
      </c>
      <c r="T55" s="12">
        <v>91599.866</v>
      </c>
      <c r="U55" s="12">
        <v>65413.103</v>
      </c>
      <c r="V55" s="12">
        <v>11977.468</v>
      </c>
      <c r="W55" s="12">
        <v>41016.453</v>
      </c>
      <c r="X55" s="12">
        <v>330761.527</v>
      </c>
      <c r="Y55" s="12">
        <v>51967.936</v>
      </c>
      <c r="Z55" s="12">
        <v>6262.843</v>
      </c>
      <c r="AA55" s="12">
        <v>0</v>
      </c>
      <c r="AB55" s="12">
        <v>600247.172</v>
      </c>
      <c r="AC55" s="12">
        <v>57294.539</v>
      </c>
      <c r="AD55" s="12">
        <v>3150.73</v>
      </c>
      <c r="AE55" s="12">
        <v>4941.741</v>
      </c>
      <c r="AF55" s="12">
        <v>16736.084</v>
      </c>
      <c r="AG55" s="12">
        <v>5775.692</v>
      </c>
      <c r="AH55" s="12">
        <v>954.103</v>
      </c>
      <c r="AI55" s="12">
        <v>45842.854</v>
      </c>
      <c r="AJ55" s="12">
        <v>420423.505</v>
      </c>
      <c r="AK55" s="12">
        <v>13381.084</v>
      </c>
      <c r="AL55" s="12">
        <v>9353.791</v>
      </c>
      <c r="AM55" s="12">
        <v>4864.604</v>
      </c>
      <c r="AN55" s="12">
        <v>8752.677</v>
      </c>
      <c r="AO55" s="12">
        <v>24663.33</v>
      </c>
      <c r="AP55" s="12">
        <v>4948.014</v>
      </c>
      <c r="AQ55" s="12">
        <v>5154.801</v>
      </c>
      <c r="AR55" s="12">
        <v>4923.289</v>
      </c>
      <c r="AS55" s="12">
        <v>968.288</v>
      </c>
      <c r="AT55" s="12">
        <v>8811.556</v>
      </c>
      <c r="AU55" s="12">
        <v>0</v>
      </c>
      <c r="AV55" s="12">
        <v>598.47</v>
      </c>
      <c r="AW55" s="12">
        <v>3256.431</v>
      </c>
      <c r="AX55" s="12">
        <v>2393.088</v>
      </c>
      <c r="AY55" s="12">
        <v>539.947</v>
      </c>
      <c r="AZ55" s="12">
        <v>20921.448</v>
      </c>
      <c r="BA55" s="12">
        <v>396.186</v>
      </c>
      <c r="BB55" s="12">
        <v>63278.563</v>
      </c>
      <c r="BC55" s="12">
        <v>4025.647</v>
      </c>
      <c r="BD55" s="12">
        <v>10940.273</v>
      </c>
      <c r="BE55" s="12">
        <v>42582.004</v>
      </c>
      <c r="BF55" s="12">
        <v>4071.899</v>
      </c>
      <c r="BG55" s="12">
        <v>0</v>
      </c>
      <c r="BH55" s="12">
        <v>22878.093</v>
      </c>
      <c r="BI55" s="12">
        <v>5757.086</v>
      </c>
      <c r="BJ55" s="12">
        <v>4663.946</v>
      </c>
      <c r="BK55" s="12">
        <v>48541.921</v>
      </c>
      <c r="BL55" s="12">
        <v>1399</v>
      </c>
      <c r="BM55" s="12">
        <v>130.77</v>
      </c>
      <c r="BN55" s="12">
        <v>27931.652</v>
      </c>
      <c r="BO55" s="12">
        <v>6289.344</v>
      </c>
      <c r="BP55" s="12"/>
      <c r="BQ55" s="12"/>
      <c r="BR55" s="12"/>
      <c r="BS55" s="230">
        <f t="shared" si="3"/>
        <v>4542754.67</v>
      </c>
      <c r="BT55" s="230">
        <f t="shared" si="4"/>
        <v>1203443.6010000003</v>
      </c>
      <c r="BU55" s="230">
        <f t="shared" si="5"/>
        <v>1283992.811</v>
      </c>
      <c r="BV55" s="230">
        <f t="shared" si="6"/>
        <v>1908691.697</v>
      </c>
      <c r="BW55" s="230">
        <f t="shared" si="16"/>
        <v>4396128.109</v>
      </c>
      <c r="BX55" s="230">
        <f t="shared" si="1"/>
        <v>146626.561</v>
      </c>
      <c r="BY55" s="230"/>
      <c r="BZ55" s="230">
        <f t="shared" si="2"/>
        <v>4542754.67</v>
      </c>
    </row>
    <row r="56" spans="1:78" ht="12.75">
      <c r="A56" s="245"/>
      <c r="B56" s="12"/>
      <c r="C56" s="12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2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230"/>
      <c r="BT56" s="230"/>
      <c r="BU56" s="230"/>
      <c r="BV56" s="230"/>
      <c r="BW56" s="230"/>
      <c r="BX56" s="230"/>
      <c r="BY56" s="230"/>
      <c r="BZ56" s="230"/>
    </row>
    <row r="57" spans="1:78" ht="17.25" customHeight="1">
      <c r="A57" s="245" t="s">
        <v>549</v>
      </c>
      <c r="B57" s="226">
        <f>B53+B55</f>
        <v>470229.56900000235</v>
      </c>
      <c r="C57" s="226">
        <f aca="true" t="shared" si="23" ref="C57:AR57">C53+C55</f>
        <v>116366.92999999909</v>
      </c>
      <c r="D57" s="226">
        <f t="shared" si="23"/>
        <v>84233.06999999961</v>
      </c>
      <c r="E57" s="226">
        <f t="shared" si="23"/>
        <v>200887.68000000002</v>
      </c>
      <c r="F57" s="226">
        <f t="shared" si="23"/>
        <v>140626.55899999937</v>
      </c>
      <c r="G57" s="226">
        <f t="shared" si="23"/>
        <v>72617.24099999963</v>
      </c>
      <c r="H57" s="226">
        <f t="shared" si="23"/>
        <v>15932.518000001386</v>
      </c>
      <c r="I57" s="226">
        <f t="shared" si="23"/>
        <v>155771.8799999999</v>
      </c>
      <c r="J57" s="226">
        <f t="shared" si="23"/>
        <v>86643.68699999992</v>
      </c>
      <c r="K57" s="226">
        <f>K53+K55</f>
        <v>57773.28600000013</v>
      </c>
      <c r="L57" s="226">
        <f t="shared" si="23"/>
        <v>37955.338999999745</v>
      </c>
      <c r="M57" s="226">
        <f t="shared" si="23"/>
        <v>8228.393000000306</v>
      </c>
      <c r="N57" s="226">
        <f aca="true" t="shared" si="24" ref="N57:Z57">N53+N55</f>
        <v>47678.42899999955</v>
      </c>
      <c r="O57" s="226">
        <f t="shared" si="24"/>
        <v>68313.98999999953</v>
      </c>
      <c r="P57" s="226">
        <f t="shared" si="24"/>
        <v>765815.0380000001</v>
      </c>
      <c r="Q57" s="226">
        <f t="shared" si="24"/>
        <v>45262.153000000304</v>
      </c>
      <c r="R57" s="226">
        <f t="shared" si="24"/>
        <v>187558.51400000026</v>
      </c>
      <c r="S57" s="226">
        <f t="shared" si="24"/>
        <v>199009.61500000028</v>
      </c>
      <c r="T57" s="226">
        <f t="shared" si="24"/>
        <v>103574.83399999987</v>
      </c>
      <c r="U57" s="226">
        <f t="shared" si="24"/>
        <v>52285.396999999764</v>
      </c>
      <c r="V57" s="226">
        <f t="shared" si="24"/>
        <v>35189.540999999976</v>
      </c>
      <c r="W57" s="226">
        <f t="shared" si="24"/>
        <v>48285.0090000001</v>
      </c>
      <c r="X57" s="226">
        <f t="shared" si="24"/>
        <v>9926.369999999995</v>
      </c>
      <c r="Y57" s="226">
        <f t="shared" si="24"/>
        <v>19952.924000000363</v>
      </c>
      <c r="Z57" s="226">
        <f t="shared" si="24"/>
        <v>8569.623000000029</v>
      </c>
      <c r="AA57" s="226">
        <f t="shared" si="23"/>
        <v>-0.2339999999385327</v>
      </c>
      <c r="AB57" s="226">
        <f>AB53+AB55</f>
        <v>644162.5980000002</v>
      </c>
      <c r="AC57" s="226">
        <f>AC53+AC55</f>
        <v>36462.848000000005</v>
      </c>
      <c r="AD57" s="226">
        <f>AD53+AD55</f>
        <v>6896.695000000025</v>
      </c>
      <c r="AE57" s="226">
        <f>AE53+AE55</f>
        <v>4593.013999999928</v>
      </c>
      <c r="AF57" s="226">
        <f t="shared" si="23"/>
        <v>18329.509999999977</v>
      </c>
      <c r="AG57" s="226">
        <f>AG53+AG55</f>
        <v>973.3180000001639</v>
      </c>
      <c r="AH57" s="226">
        <f t="shared" si="23"/>
        <v>2220.0390000000452</v>
      </c>
      <c r="AI57" s="226">
        <f t="shared" si="23"/>
        <v>53782.28599999997</v>
      </c>
      <c r="AJ57" s="226">
        <f t="shared" si="23"/>
        <v>93445.13899999997</v>
      </c>
      <c r="AK57" s="226">
        <f t="shared" si="23"/>
        <v>3586.0349999999435</v>
      </c>
      <c r="AL57" s="226">
        <f t="shared" si="23"/>
        <v>7771.769999999991</v>
      </c>
      <c r="AM57" s="226">
        <f t="shared" si="23"/>
        <v>4288.652999999999</v>
      </c>
      <c r="AN57" s="226">
        <f t="shared" si="23"/>
        <v>11178.486999999968</v>
      </c>
      <c r="AO57" s="226">
        <f>AO53+AO55</f>
        <v>4685.833000000028</v>
      </c>
      <c r="AP57" s="226">
        <f t="shared" si="23"/>
        <v>3914.104999999986</v>
      </c>
      <c r="AQ57" s="226">
        <f>AQ53+AQ55</f>
        <v>2199.540999999962</v>
      </c>
      <c r="AR57" s="226">
        <f t="shared" si="23"/>
        <v>4930.654999999994</v>
      </c>
      <c r="AS57" s="226">
        <f aca="true" t="shared" si="25" ref="AS57:BO57">AS53+AS55</f>
        <v>3812.3160000000494</v>
      </c>
      <c r="AT57" s="226">
        <f t="shared" si="25"/>
        <v>8088.15200000002</v>
      </c>
      <c r="AU57" s="226">
        <f>AU53+AU55</f>
        <v>134344.24300000007</v>
      </c>
      <c r="AV57" s="226">
        <f t="shared" si="25"/>
        <v>669.9779999999726</v>
      </c>
      <c r="AW57" s="226">
        <f t="shared" si="25"/>
        <v>452.19000000002006</v>
      </c>
      <c r="AX57" s="226">
        <f t="shared" si="25"/>
        <v>5855.232</v>
      </c>
      <c r="AY57" s="226">
        <f t="shared" si="25"/>
        <v>2088.773000000001</v>
      </c>
      <c r="AZ57" s="226">
        <f t="shared" si="25"/>
        <v>14683.006999999994</v>
      </c>
      <c r="BA57" s="226">
        <f t="shared" si="25"/>
        <v>1059.924000000012</v>
      </c>
      <c r="BB57" s="226">
        <f t="shared" si="25"/>
        <v>69988.15800000001</v>
      </c>
      <c r="BC57" s="226">
        <f t="shared" si="25"/>
        <v>1098.8630000000003</v>
      </c>
      <c r="BD57" s="226">
        <f t="shared" si="25"/>
        <v>11316.351</v>
      </c>
      <c r="BE57" s="226">
        <f t="shared" si="25"/>
        <v>47976.354999999996</v>
      </c>
      <c r="BF57" s="226">
        <f>BF53+BF55</f>
        <v>5161.777</v>
      </c>
      <c r="BG57" s="226">
        <f t="shared" si="25"/>
        <v>15322.361999999965</v>
      </c>
      <c r="BH57" s="226">
        <f t="shared" si="25"/>
        <v>29453.674000000006</v>
      </c>
      <c r="BI57" s="226">
        <f t="shared" si="25"/>
        <v>1172.8289999999988</v>
      </c>
      <c r="BJ57" s="226">
        <f t="shared" si="25"/>
        <v>2362.429</v>
      </c>
      <c r="BK57" s="226">
        <f t="shared" si="25"/>
        <v>47148.994</v>
      </c>
      <c r="BL57" s="226">
        <f t="shared" si="25"/>
        <v>1493</v>
      </c>
      <c r="BM57" s="226">
        <f t="shared" si="25"/>
        <v>796.5889999999995</v>
      </c>
      <c r="BN57" s="226">
        <f t="shared" si="25"/>
        <v>38778.859</v>
      </c>
      <c r="BO57" s="226">
        <f t="shared" si="25"/>
        <v>7849.747000000002</v>
      </c>
      <c r="BP57" s="226"/>
      <c r="BQ57" s="226"/>
      <c r="BR57" s="226"/>
      <c r="BS57" s="230">
        <f t="shared" si="3"/>
        <v>4393081.683000002</v>
      </c>
      <c r="BT57" s="230">
        <f t="shared" si="4"/>
        <v>1269363.4519999991</v>
      </c>
      <c r="BU57" s="230">
        <f t="shared" si="5"/>
        <v>871265.2180000008</v>
      </c>
      <c r="BV57" s="230">
        <f t="shared" si="6"/>
        <v>2144056.9050000017</v>
      </c>
      <c r="BW57" s="230">
        <f t="shared" si="16"/>
        <v>4284685.575000001</v>
      </c>
      <c r="BX57" s="230">
        <f t="shared" si="1"/>
        <v>108396.10800000066</v>
      </c>
      <c r="BY57" s="230"/>
      <c r="BZ57" s="230">
        <f t="shared" si="2"/>
        <v>4393081.683000002</v>
      </c>
    </row>
    <row r="58" spans="1:78" ht="12.75">
      <c r="A58" s="98"/>
      <c r="B58" s="12"/>
      <c r="C58" s="12"/>
      <c r="D58" s="12"/>
      <c r="E58" s="12"/>
      <c r="F58" s="13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2"/>
      <c r="R58" s="12"/>
      <c r="S58" s="13"/>
      <c r="T58" s="12"/>
      <c r="U58" s="13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3"/>
      <c r="AH58" s="12"/>
      <c r="AI58" s="13"/>
      <c r="AJ58" s="12"/>
      <c r="AK58" s="12"/>
      <c r="AL58" s="12"/>
      <c r="AM58" s="12"/>
      <c r="AN58" s="12"/>
      <c r="AO58" s="12"/>
      <c r="AP58" s="13"/>
      <c r="AQ58" s="12"/>
      <c r="AR58" s="12"/>
      <c r="AS58" s="12"/>
      <c r="AT58" s="12"/>
      <c r="AU58" s="12"/>
      <c r="AV58" s="13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3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84"/>
      <c r="BT58" s="84"/>
      <c r="BU58" s="84"/>
      <c r="BV58" s="84"/>
      <c r="BW58" s="84"/>
      <c r="BX58" s="84"/>
      <c r="BY58" s="84"/>
      <c r="BZ58" s="84"/>
    </row>
    <row r="59" spans="1:78" ht="12.75">
      <c r="A59" s="102"/>
      <c r="B59" s="12"/>
      <c r="C59" s="12"/>
      <c r="D59" s="12"/>
      <c r="E59" s="12"/>
      <c r="F59" s="13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2"/>
      <c r="R59" s="12"/>
      <c r="S59" s="13"/>
      <c r="T59" s="12"/>
      <c r="U59" s="13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3"/>
      <c r="AH59" s="12"/>
      <c r="AI59" s="13"/>
      <c r="AJ59" s="12"/>
      <c r="AK59" s="12"/>
      <c r="AL59" s="12"/>
      <c r="AM59" s="12"/>
      <c r="AN59" s="12"/>
      <c r="AO59" s="12"/>
      <c r="AP59" s="13"/>
      <c r="AQ59" s="12"/>
      <c r="AR59" s="12"/>
      <c r="AS59" s="12"/>
      <c r="AT59" s="12"/>
      <c r="AU59" s="12"/>
      <c r="AV59" s="13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3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2"/>
      <c r="BT59" s="2"/>
      <c r="BU59" s="2"/>
      <c r="BV59" s="2"/>
      <c r="BW59" s="2"/>
      <c r="BX59" s="2"/>
      <c r="BY59" s="2"/>
      <c r="BZ59" s="2"/>
    </row>
    <row r="60" spans="1:78" ht="12.75">
      <c r="A60" s="102"/>
      <c r="B60" s="12"/>
      <c r="C60" s="12"/>
      <c r="D60" s="12"/>
      <c r="E60" s="12"/>
      <c r="F60" s="84"/>
      <c r="G60" s="12"/>
      <c r="H60" s="12"/>
      <c r="I60" s="12"/>
      <c r="J60" s="84"/>
      <c r="K60" s="84"/>
      <c r="L60" s="12"/>
      <c r="M60" s="84"/>
      <c r="N60" s="84"/>
      <c r="O60" s="84"/>
      <c r="P60" s="84"/>
      <c r="Q60" s="84"/>
      <c r="R60" s="84"/>
      <c r="S60" s="84"/>
      <c r="T60" s="84"/>
      <c r="U60" s="13"/>
      <c r="V60" s="84"/>
      <c r="W60" s="84"/>
      <c r="X60" s="84"/>
      <c r="Y60" s="13"/>
      <c r="Z60" s="84"/>
      <c r="AA60" s="84"/>
      <c r="AB60" s="13"/>
      <c r="AC60" s="84"/>
      <c r="AD60" s="13"/>
      <c r="AE60" s="13"/>
      <c r="AF60" s="13"/>
      <c r="AG60" s="13"/>
      <c r="AH60" s="13"/>
      <c r="AI60" s="13"/>
      <c r="AJ60" s="13"/>
      <c r="AK60" s="13"/>
      <c r="AL60" s="84"/>
      <c r="AM60" s="13"/>
      <c r="AN60" s="13"/>
      <c r="AO60" s="13"/>
      <c r="AP60" s="13"/>
      <c r="AQ60" s="13"/>
      <c r="AR60" s="13"/>
      <c r="AS60" s="13"/>
      <c r="AT60" s="13"/>
      <c r="AU60" s="12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84"/>
      <c r="BH60" s="13"/>
      <c r="BI60" s="13"/>
      <c r="BJ60" s="13"/>
      <c r="BK60" s="84"/>
      <c r="BL60" s="13"/>
      <c r="BM60" s="84"/>
      <c r="BN60" s="84"/>
      <c r="BO60" s="13"/>
      <c r="BP60" s="13"/>
      <c r="BQ60" s="13"/>
      <c r="BR60" s="13"/>
      <c r="BS60" s="85"/>
      <c r="BT60" s="85"/>
      <c r="BU60" s="85"/>
      <c r="BV60" s="85"/>
      <c r="BW60" s="85"/>
      <c r="BX60" s="85"/>
      <c r="BY60" s="85"/>
      <c r="BZ60" s="85"/>
    </row>
    <row r="61" spans="1:78" ht="12.75">
      <c r="A61" s="102"/>
      <c r="B61" s="12"/>
      <c r="C61" s="12"/>
      <c r="D61" s="12"/>
      <c r="E61" s="12"/>
      <c r="F61" s="84"/>
      <c r="G61" s="12"/>
      <c r="H61" s="12"/>
      <c r="I61" s="12"/>
      <c r="J61" s="84"/>
      <c r="K61" s="84"/>
      <c r="L61" s="12"/>
      <c r="M61" s="84"/>
      <c r="N61" s="84"/>
      <c r="O61" s="84"/>
      <c r="P61" s="84"/>
      <c r="Q61" s="84"/>
      <c r="R61" s="84"/>
      <c r="S61" s="84"/>
      <c r="T61" s="84"/>
      <c r="U61" s="13"/>
      <c r="V61" s="84"/>
      <c r="W61" s="84"/>
      <c r="X61" s="84"/>
      <c r="Y61" s="13"/>
      <c r="Z61" s="84"/>
      <c r="AA61" s="84"/>
      <c r="AB61" s="13"/>
      <c r="AC61" s="84"/>
      <c r="AD61" s="13"/>
      <c r="AE61" s="13"/>
      <c r="AF61" s="13"/>
      <c r="AG61" s="13"/>
      <c r="AH61" s="13"/>
      <c r="AI61" s="13"/>
      <c r="AJ61" s="13"/>
      <c r="AK61" s="13"/>
      <c r="AL61" s="84"/>
      <c r="AM61" s="13"/>
      <c r="AN61" s="13"/>
      <c r="AO61" s="13"/>
      <c r="AP61" s="13"/>
      <c r="AQ61" s="13"/>
      <c r="AR61" s="13"/>
      <c r="AS61" s="13"/>
      <c r="AT61" s="13"/>
      <c r="AU61" s="12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84"/>
      <c r="BH61" s="13"/>
      <c r="BI61" s="13"/>
      <c r="BJ61" s="13"/>
      <c r="BK61" s="84"/>
      <c r="BL61" s="13"/>
      <c r="BM61" s="84"/>
      <c r="BN61" s="84"/>
      <c r="BO61" s="13"/>
      <c r="BP61" s="13"/>
      <c r="BQ61" s="13"/>
      <c r="BR61" s="13"/>
      <c r="BS61" s="85"/>
      <c r="BT61" s="85"/>
      <c r="BU61" s="85"/>
      <c r="BV61" s="85"/>
      <c r="BW61" s="85"/>
      <c r="BX61" s="85"/>
      <c r="BY61" s="85"/>
      <c r="BZ61" s="85"/>
    </row>
    <row r="62" spans="1:78" ht="12.75">
      <c r="A62" s="102"/>
      <c r="B62" s="12"/>
      <c r="C62" s="12"/>
      <c r="D62" s="12"/>
      <c r="E62" s="12"/>
      <c r="F62" s="84"/>
      <c r="G62" s="12"/>
      <c r="H62" s="12"/>
      <c r="I62" s="12"/>
      <c r="J62" s="84"/>
      <c r="K62" s="84"/>
      <c r="L62" s="12"/>
      <c r="M62" s="84"/>
      <c r="N62" s="84"/>
      <c r="O62" s="84"/>
      <c r="P62" s="84"/>
      <c r="Q62" s="84"/>
      <c r="R62" s="84"/>
      <c r="S62" s="84"/>
      <c r="T62" s="84"/>
      <c r="U62" s="13"/>
      <c r="V62" s="84"/>
      <c r="W62" s="84"/>
      <c r="X62" s="84"/>
      <c r="Y62" s="13"/>
      <c r="Z62" s="84"/>
      <c r="AA62" s="84"/>
      <c r="AB62" s="13"/>
      <c r="AC62" s="84"/>
      <c r="AD62" s="13"/>
      <c r="AE62" s="13"/>
      <c r="AF62" s="13"/>
      <c r="AG62" s="13"/>
      <c r="AH62" s="13"/>
      <c r="AI62" s="13"/>
      <c r="AJ62" s="13"/>
      <c r="AK62" s="13"/>
      <c r="AL62" s="84"/>
      <c r="AM62" s="13"/>
      <c r="AN62" s="13"/>
      <c r="AO62" s="13"/>
      <c r="AP62" s="13"/>
      <c r="AQ62" s="13"/>
      <c r="AR62" s="13"/>
      <c r="AS62" s="13"/>
      <c r="AT62" s="13"/>
      <c r="AU62" s="12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84"/>
      <c r="BH62" s="13"/>
      <c r="BI62" s="13"/>
      <c r="BJ62" s="13"/>
      <c r="BK62" s="84"/>
      <c r="BL62" s="13"/>
      <c r="BM62" s="84"/>
      <c r="BN62" s="84"/>
      <c r="BO62" s="13"/>
      <c r="BP62" s="13"/>
      <c r="BQ62" s="13"/>
      <c r="BR62" s="13"/>
      <c r="BS62" s="85"/>
      <c r="BT62" s="85"/>
      <c r="BU62" s="85"/>
      <c r="BV62" s="85"/>
      <c r="BW62" s="85"/>
      <c r="BX62" s="85"/>
      <c r="BY62" s="85"/>
      <c r="BZ62" s="85"/>
    </row>
    <row r="63" spans="1:78" ht="12.75">
      <c r="A63" s="102"/>
      <c r="B63" s="12"/>
      <c r="C63" s="12"/>
      <c r="D63" s="12"/>
      <c r="E63" s="12"/>
      <c r="F63" s="84"/>
      <c r="G63" s="12"/>
      <c r="H63" s="12"/>
      <c r="I63" s="12"/>
      <c r="J63" s="84"/>
      <c r="K63" s="84"/>
      <c r="L63" s="12"/>
      <c r="M63" s="84"/>
      <c r="N63" s="84"/>
      <c r="O63" s="84"/>
      <c r="P63" s="84"/>
      <c r="Q63" s="84"/>
      <c r="R63" s="84"/>
      <c r="S63" s="84"/>
      <c r="T63" s="84"/>
      <c r="U63" s="13"/>
      <c r="V63" s="84"/>
      <c r="W63" s="84"/>
      <c r="X63" s="84"/>
      <c r="Y63" s="13"/>
      <c r="Z63" s="84"/>
      <c r="AA63" s="84"/>
      <c r="AB63" s="13"/>
      <c r="AC63" s="84"/>
      <c r="AD63" s="13"/>
      <c r="AE63" s="13"/>
      <c r="AF63" s="13"/>
      <c r="AG63" s="13"/>
      <c r="AH63" s="13"/>
      <c r="AI63" s="13"/>
      <c r="AJ63" s="13"/>
      <c r="AK63" s="13"/>
      <c r="AL63" s="84"/>
      <c r="AM63" s="13"/>
      <c r="AN63" s="13"/>
      <c r="AO63" s="13"/>
      <c r="AP63" s="13"/>
      <c r="AQ63" s="13"/>
      <c r="AR63" s="13"/>
      <c r="AS63" s="13"/>
      <c r="AT63" s="13"/>
      <c r="AU63" s="12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84"/>
      <c r="BH63" s="13"/>
      <c r="BI63" s="13"/>
      <c r="BJ63" s="13"/>
      <c r="BK63" s="84"/>
      <c r="BL63" s="13"/>
      <c r="BM63" s="84"/>
      <c r="BN63" s="84"/>
      <c r="BO63" s="13"/>
      <c r="BP63" s="13"/>
      <c r="BQ63" s="13"/>
      <c r="BR63" s="13"/>
      <c r="BS63" s="85"/>
      <c r="BT63" s="85"/>
      <c r="BU63" s="85" t="s">
        <v>175</v>
      </c>
      <c r="BV63" s="85"/>
      <c r="BW63" s="85"/>
      <c r="BX63" s="85"/>
      <c r="BY63" s="85"/>
      <c r="BZ63" s="85"/>
    </row>
    <row r="64" spans="1:78" ht="12.75">
      <c r="A64" s="102"/>
      <c r="B64" s="12"/>
      <c r="C64" s="12"/>
      <c r="D64" s="12"/>
      <c r="E64" s="12"/>
      <c r="F64" s="84"/>
      <c r="G64" s="12"/>
      <c r="H64" s="12"/>
      <c r="I64" s="12"/>
      <c r="J64" s="84"/>
      <c r="K64" s="84"/>
      <c r="L64" s="12"/>
      <c r="M64" s="84"/>
      <c r="N64" s="84"/>
      <c r="O64" s="84"/>
      <c r="P64" s="84"/>
      <c r="Q64" s="84"/>
      <c r="R64" s="84"/>
      <c r="S64" s="84"/>
      <c r="T64" s="84"/>
      <c r="U64" s="13"/>
      <c r="V64" s="84"/>
      <c r="W64" s="84"/>
      <c r="X64" s="84"/>
      <c r="Y64" s="13"/>
      <c r="Z64" s="84"/>
      <c r="AA64" s="84"/>
      <c r="AB64" s="13"/>
      <c r="AC64" s="84"/>
      <c r="AD64" s="13"/>
      <c r="AE64" s="13"/>
      <c r="AF64" s="13"/>
      <c r="AG64" s="13"/>
      <c r="AH64" s="13"/>
      <c r="AI64" s="13"/>
      <c r="AJ64" s="13"/>
      <c r="AK64" s="13"/>
      <c r="AL64" s="84"/>
      <c r="AM64" s="13"/>
      <c r="AN64" s="13"/>
      <c r="AO64" s="13"/>
      <c r="AP64" s="13"/>
      <c r="AQ64" s="13"/>
      <c r="AR64" s="13"/>
      <c r="AS64" s="13"/>
      <c r="AT64" s="13"/>
      <c r="AU64" s="12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84"/>
      <c r="BH64" s="13"/>
      <c r="BI64" s="13"/>
      <c r="BJ64" s="13"/>
      <c r="BK64" s="84"/>
      <c r="BL64" s="13"/>
      <c r="BM64" s="84"/>
      <c r="BN64" s="84"/>
      <c r="BO64" s="13"/>
      <c r="BP64" s="13"/>
      <c r="BQ64" s="13"/>
      <c r="BR64" s="13"/>
      <c r="BS64" s="85"/>
      <c r="BT64" s="85"/>
      <c r="BU64" s="85"/>
      <c r="BV64" s="85"/>
      <c r="BW64" s="85"/>
      <c r="BX64" s="85"/>
      <c r="BY64" s="85"/>
      <c r="BZ64" s="85"/>
    </row>
    <row r="65" spans="1:78" ht="13.5">
      <c r="A65" s="101"/>
      <c r="B65" s="83"/>
      <c r="C65" s="83"/>
      <c r="D65" s="83"/>
      <c r="E65" s="83"/>
      <c r="F65" s="84"/>
      <c r="G65" s="83"/>
      <c r="H65" s="12"/>
      <c r="I65" s="83"/>
      <c r="J65" s="84"/>
      <c r="K65" s="84"/>
      <c r="L65" s="83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3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5"/>
      <c r="BT65" s="85"/>
      <c r="BU65" s="85"/>
      <c r="BV65" s="85"/>
      <c r="BW65" s="85"/>
      <c r="BX65" s="85"/>
      <c r="BY65" s="85"/>
      <c r="BZ65" s="85"/>
    </row>
    <row r="66" spans="1:78" ht="13.5">
      <c r="A66" s="101"/>
      <c r="B66" s="83"/>
      <c r="C66" s="83"/>
      <c r="D66" s="83"/>
      <c r="E66" s="83"/>
      <c r="F66" s="84"/>
      <c r="G66" s="83"/>
      <c r="H66" s="12"/>
      <c r="I66" s="83"/>
      <c r="J66" s="84"/>
      <c r="K66" s="84"/>
      <c r="L66" s="83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3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5"/>
      <c r="BT66" s="85"/>
      <c r="BU66" s="85"/>
      <c r="BV66" s="85"/>
      <c r="BW66" s="85"/>
      <c r="BX66" s="85"/>
      <c r="BY66" s="85"/>
      <c r="BZ66" s="85"/>
    </row>
    <row r="67" spans="1:78" ht="13.5">
      <c r="A67" s="101"/>
      <c r="B67" s="83"/>
      <c r="C67" s="83"/>
      <c r="D67" s="83"/>
      <c r="E67" s="83"/>
      <c r="F67" s="84"/>
      <c r="G67" s="83"/>
      <c r="H67" s="12"/>
      <c r="I67" s="83"/>
      <c r="J67" s="84"/>
      <c r="K67" s="84"/>
      <c r="L67" s="83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3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5"/>
      <c r="BT67" s="85"/>
      <c r="BU67" s="85"/>
      <c r="BV67" s="85"/>
      <c r="BW67" s="85"/>
      <c r="BX67" s="85"/>
      <c r="BY67" s="85"/>
      <c r="BZ67" s="85"/>
    </row>
    <row r="68" spans="1:78" ht="13.5">
      <c r="A68" s="101"/>
      <c r="B68" s="83"/>
      <c r="C68" s="83"/>
      <c r="D68" s="83"/>
      <c r="E68" s="83"/>
      <c r="F68" s="84"/>
      <c r="G68" s="83"/>
      <c r="H68" s="12"/>
      <c r="I68" s="83"/>
      <c r="J68" s="84"/>
      <c r="K68" s="84"/>
      <c r="L68" s="83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3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5"/>
      <c r="BT68" s="85"/>
      <c r="BU68" s="85"/>
      <c r="BV68" s="85"/>
      <c r="BW68" s="85"/>
      <c r="BX68" s="85"/>
      <c r="BY68" s="85"/>
      <c r="BZ68" s="85"/>
    </row>
    <row r="69" spans="1:78" ht="12.75">
      <c r="A69" s="102"/>
      <c r="B69" s="12"/>
      <c r="C69" s="12"/>
      <c r="D69" s="12"/>
      <c r="E69" s="12"/>
      <c r="F69" s="84"/>
      <c r="G69" s="12"/>
      <c r="H69" s="12"/>
      <c r="I69" s="12"/>
      <c r="J69" s="84"/>
      <c r="K69" s="84"/>
      <c r="L69" s="12"/>
      <c r="M69" s="84"/>
      <c r="N69" s="84"/>
      <c r="O69" s="84"/>
      <c r="P69" s="84"/>
      <c r="Q69" s="84"/>
      <c r="R69" s="84"/>
      <c r="S69" s="84"/>
      <c r="T69" s="84"/>
      <c r="U69" s="13"/>
      <c r="V69" s="84"/>
      <c r="W69" s="84"/>
      <c r="X69" s="84"/>
      <c r="Y69" s="13"/>
      <c r="Z69" s="84"/>
      <c r="AA69" s="84"/>
      <c r="AB69" s="13"/>
      <c r="AC69" s="84"/>
      <c r="AD69" s="13"/>
      <c r="AE69" s="13"/>
      <c r="AF69" s="13"/>
      <c r="AG69" s="13"/>
      <c r="AH69" s="13"/>
      <c r="AI69" s="13"/>
      <c r="AJ69" s="13"/>
      <c r="AK69" s="13"/>
      <c r="AL69" s="84"/>
      <c r="AM69" s="13"/>
      <c r="AN69" s="13"/>
      <c r="AO69" s="13"/>
      <c r="AP69" s="13"/>
      <c r="AQ69" s="13"/>
      <c r="AR69" s="13"/>
      <c r="AS69" s="13"/>
      <c r="AT69" s="13"/>
      <c r="AU69" s="12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84"/>
      <c r="BH69" s="13"/>
      <c r="BI69" s="13"/>
      <c r="BJ69" s="13"/>
      <c r="BK69" s="84"/>
      <c r="BL69" s="13"/>
      <c r="BM69" s="84"/>
      <c r="BN69" s="84"/>
      <c r="BO69" s="13"/>
      <c r="BP69" s="13"/>
      <c r="BQ69" s="13"/>
      <c r="BR69" s="13"/>
      <c r="BS69" s="85"/>
      <c r="BT69" s="85"/>
      <c r="BU69" s="85"/>
      <c r="BV69" s="85"/>
      <c r="BW69" s="85"/>
      <c r="BX69" s="85"/>
      <c r="BY69" s="85"/>
      <c r="BZ69" s="85"/>
    </row>
    <row r="70" spans="1:78" ht="12.75">
      <c r="A70" s="102"/>
      <c r="B70" s="12"/>
      <c r="C70" s="12"/>
      <c r="D70" s="12"/>
      <c r="E70" s="12"/>
      <c r="F70" s="84"/>
      <c r="G70" s="12"/>
      <c r="H70" s="12"/>
      <c r="I70" s="12"/>
      <c r="J70" s="84"/>
      <c r="K70" s="84"/>
      <c r="L70" s="12"/>
      <c r="M70" s="84"/>
      <c r="N70" s="84"/>
      <c r="O70" s="84"/>
      <c r="P70" s="84"/>
      <c r="Q70" s="84"/>
      <c r="R70" s="84"/>
      <c r="S70" s="84"/>
      <c r="T70" s="84"/>
      <c r="U70" s="13"/>
      <c r="V70" s="84"/>
      <c r="W70" s="84"/>
      <c r="X70" s="84"/>
      <c r="Y70" s="13"/>
      <c r="Z70" s="84"/>
      <c r="AA70" s="84"/>
      <c r="AB70" s="13"/>
      <c r="AC70" s="84"/>
      <c r="AD70" s="13"/>
      <c r="AE70" s="13"/>
      <c r="AF70" s="13"/>
      <c r="AG70" s="13"/>
      <c r="AH70" s="13"/>
      <c r="AI70" s="13"/>
      <c r="AJ70" s="13"/>
      <c r="AK70" s="13"/>
      <c r="AL70" s="84"/>
      <c r="AM70" s="13"/>
      <c r="AN70" s="13"/>
      <c r="AO70" s="13"/>
      <c r="AP70" s="13"/>
      <c r="AQ70" s="13"/>
      <c r="AR70" s="13"/>
      <c r="AS70" s="13"/>
      <c r="AT70" s="13"/>
      <c r="AU70" s="12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84"/>
      <c r="BH70" s="13"/>
      <c r="BI70" s="13"/>
      <c r="BJ70" s="13"/>
      <c r="BK70" s="84"/>
      <c r="BL70" s="13"/>
      <c r="BM70" s="84"/>
      <c r="BN70" s="84"/>
      <c r="BO70" s="13"/>
      <c r="BP70" s="13"/>
      <c r="BQ70" s="13"/>
      <c r="BR70" s="13"/>
      <c r="BS70" s="85"/>
      <c r="BT70" s="85"/>
      <c r="BU70" s="85"/>
      <c r="BV70" s="85"/>
      <c r="BW70" s="85"/>
      <c r="BX70" s="85"/>
      <c r="BY70" s="85"/>
      <c r="BZ70" s="85"/>
    </row>
    <row r="71" spans="1:78" ht="12.75">
      <c r="A71" s="102"/>
      <c r="B71" s="12"/>
      <c r="C71" s="12"/>
      <c r="D71" s="12"/>
      <c r="E71" s="12"/>
      <c r="F71" s="84"/>
      <c r="G71" s="12"/>
      <c r="H71" s="12"/>
      <c r="I71" s="12"/>
      <c r="J71" s="84"/>
      <c r="K71" s="84"/>
      <c r="L71" s="12"/>
      <c r="M71" s="84"/>
      <c r="N71" s="84"/>
      <c r="O71" s="84"/>
      <c r="P71" s="84"/>
      <c r="Q71" s="84"/>
      <c r="R71" s="84"/>
      <c r="S71" s="84"/>
      <c r="T71" s="84"/>
      <c r="U71" s="13"/>
      <c r="V71" s="84"/>
      <c r="W71" s="84"/>
      <c r="X71" s="84"/>
      <c r="Y71" s="13"/>
      <c r="Z71" s="84"/>
      <c r="AA71" s="84"/>
      <c r="AB71" s="13"/>
      <c r="AC71" s="84"/>
      <c r="AD71" s="13"/>
      <c r="AE71" s="13"/>
      <c r="AF71" s="13"/>
      <c r="AG71" s="13"/>
      <c r="AH71" s="13"/>
      <c r="AI71" s="13"/>
      <c r="AJ71" s="13"/>
      <c r="AK71" s="13"/>
      <c r="AL71" s="84"/>
      <c r="AM71" s="13"/>
      <c r="AN71" s="13"/>
      <c r="AO71" s="13"/>
      <c r="AP71" s="13"/>
      <c r="AQ71" s="13"/>
      <c r="AR71" s="13"/>
      <c r="AS71" s="13"/>
      <c r="AT71" s="13"/>
      <c r="AU71" s="12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84"/>
      <c r="BH71" s="13"/>
      <c r="BI71" s="13"/>
      <c r="BJ71" s="13"/>
      <c r="BK71" s="84"/>
      <c r="BL71" s="13"/>
      <c r="BM71" s="84"/>
      <c r="BN71" s="84"/>
      <c r="BO71" s="13"/>
      <c r="BP71" s="13"/>
      <c r="BQ71" s="13"/>
      <c r="BR71" s="13"/>
      <c r="BS71" s="85"/>
      <c r="BT71" s="85"/>
      <c r="BU71" s="85"/>
      <c r="BV71" s="85"/>
      <c r="BW71" s="85"/>
      <c r="BX71" s="85"/>
      <c r="BY71" s="85"/>
      <c r="BZ71" s="85"/>
    </row>
    <row r="72" spans="1:78" ht="12.75">
      <c r="A72" s="102"/>
      <c r="B72" s="12"/>
      <c r="C72" s="12"/>
      <c r="D72" s="12"/>
      <c r="E72" s="12"/>
      <c r="F72" s="84"/>
      <c r="G72" s="12"/>
      <c r="H72" s="12"/>
      <c r="I72" s="12"/>
      <c r="J72" s="84"/>
      <c r="K72" s="84"/>
      <c r="L72" s="12"/>
      <c r="M72" s="84"/>
      <c r="N72" s="84"/>
      <c r="O72" s="84"/>
      <c r="P72" s="84"/>
      <c r="Q72" s="84"/>
      <c r="R72" s="84"/>
      <c r="S72" s="84"/>
      <c r="T72" s="84"/>
      <c r="U72" s="13"/>
      <c r="V72" s="84"/>
      <c r="W72" s="84"/>
      <c r="X72" s="84"/>
      <c r="Y72" s="13"/>
      <c r="Z72" s="84"/>
      <c r="AA72" s="84"/>
      <c r="AB72" s="13"/>
      <c r="AC72" s="84"/>
      <c r="AD72" s="13"/>
      <c r="AE72" s="13"/>
      <c r="AF72" s="13"/>
      <c r="AG72" s="13"/>
      <c r="AH72" s="13"/>
      <c r="AI72" s="13"/>
      <c r="AJ72" s="13"/>
      <c r="AK72" s="13"/>
      <c r="AL72" s="84"/>
      <c r="AM72" s="13"/>
      <c r="AN72" s="13"/>
      <c r="AO72" s="13"/>
      <c r="AP72" s="13"/>
      <c r="AQ72" s="13"/>
      <c r="AR72" s="13"/>
      <c r="AS72" s="13"/>
      <c r="AT72" s="13"/>
      <c r="AU72" s="12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84"/>
      <c r="BH72" s="13"/>
      <c r="BI72" s="13"/>
      <c r="BJ72" s="13"/>
      <c r="BK72" s="84"/>
      <c r="BL72" s="13"/>
      <c r="BM72" s="84"/>
      <c r="BN72" s="84"/>
      <c r="BO72" s="13"/>
      <c r="BP72" s="13"/>
      <c r="BQ72" s="13"/>
      <c r="BR72" s="13"/>
      <c r="BS72" s="85"/>
      <c r="BT72" s="85"/>
      <c r="BU72" s="85"/>
      <c r="BV72" s="85"/>
      <c r="BW72" s="85"/>
      <c r="BX72" s="85"/>
      <c r="BY72" s="85"/>
      <c r="BZ72" s="85"/>
    </row>
    <row r="73" spans="1:78" ht="12.75">
      <c r="A73" s="102"/>
      <c r="B73" s="12"/>
      <c r="C73" s="12"/>
      <c r="D73" s="12"/>
      <c r="E73" s="12"/>
      <c r="F73" s="84"/>
      <c r="G73" s="12"/>
      <c r="H73" s="12"/>
      <c r="I73" s="12"/>
      <c r="J73" s="84"/>
      <c r="K73" s="84"/>
      <c r="L73" s="12"/>
      <c r="M73" s="84"/>
      <c r="N73" s="84"/>
      <c r="O73" s="84"/>
      <c r="P73" s="84"/>
      <c r="Q73" s="84"/>
      <c r="R73" s="84"/>
      <c r="S73" s="84"/>
      <c r="T73" s="84"/>
      <c r="U73" s="13"/>
      <c r="V73" s="84"/>
      <c r="W73" s="84"/>
      <c r="X73" s="84"/>
      <c r="Y73" s="13"/>
      <c r="Z73" s="84"/>
      <c r="AA73" s="84"/>
      <c r="AB73" s="13"/>
      <c r="AC73" s="84"/>
      <c r="AD73" s="13"/>
      <c r="AE73" s="13"/>
      <c r="AF73" s="13"/>
      <c r="AG73" s="13"/>
      <c r="AH73" s="13"/>
      <c r="AI73" s="13"/>
      <c r="AJ73" s="13"/>
      <c r="AK73" s="13"/>
      <c r="AL73" s="84"/>
      <c r="AM73" s="13"/>
      <c r="AN73" s="13"/>
      <c r="AO73" s="13"/>
      <c r="AP73" s="13"/>
      <c r="AQ73" s="13"/>
      <c r="AR73" s="13"/>
      <c r="AS73" s="13"/>
      <c r="AT73" s="13"/>
      <c r="AU73" s="12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84"/>
      <c r="BH73" s="13"/>
      <c r="BI73" s="13"/>
      <c r="BJ73" s="13"/>
      <c r="BK73" s="84"/>
      <c r="BL73" s="13"/>
      <c r="BM73" s="84"/>
      <c r="BN73" s="84"/>
      <c r="BO73" s="13"/>
      <c r="BP73" s="13"/>
      <c r="BQ73" s="13"/>
      <c r="BR73" s="13"/>
      <c r="BS73" s="85"/>
      <c r="BT73" s="85"/>
      <c r="BU73" s="85"/>
      <c r="BV73" s="85"/>
      <c r="BW73" s="85"/>
      <c r="BX73" s="85"/>
      <c r="BY73" s="85"/>
      <c r="BZ73" s="85"/>
    </row>
  </sheetData>
  <sheetProtection/>
  <mergeCells count="1">
    <mergeCell ref="BU12:BV13"/>
  </mergeCells>
  <printOptions/>
  <pageMargins left="0.5511811023622047" right="0.5511811023622047" top="1.4173228346456694" bottom="1.5748031496062993" header="0.7086614173228347" footer="0.5118110236220472"/>
  <pageSetup horizontalDpi="300" verticalDpi="300" orientation="portrait" paperSize="9" scale="90" r:id="rId1"/>
  <headerFooter alignWithMargins="0">
    <oddHeader>&amp;C&amp;"Times New Roman,Bold"&amp;14
 3.3.   SJÓÐSTREYMI ÁRIÐ 1997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Q68"/>
  <sheetViews>
    <sheetView zoomScale="90" zoomScaleNormal="90" zoomScalePageLayoutView="0" workbookViewId="0" topLeftCell="A5">
      <pane xSplit="2" ySplit="5" topLeftCell="C10" activePane="bottomRight" state="frozen"/>
      <selection pane="topLeft" activeCell="A5" sqref="A5"/>
      <selection pane="topRight" activeCell="C5" sqref="C5"/>
      <selection pane="bottomLeft" activeCell="A11" sqref="A11"/>
      <selection pane="bottomRight" activeCell="A21" sqref="A21:IV22"/>
    </sheetView>
  </sheetViews>
  <sheetFormatPr defaultColWidth="9.00390625" defaultRowHeight="12.75" outlineLevelCol="1"/>
  <cols>
    <col min="1" max="1" width="18.875" style="99" customWidth="1"/>
    <col min="2" max="2" width="3.00390625" style="99" customWidth="1" outlineLevel="1"/>
    <col min="3" max="69" width="9.625" style="86" customWidth="1"/>
    <col min="70" max="70" width="18.625" style="86" customWidth="1"/>
    <col min="71" max="71" width="2.375" style="86" hidden="1" customWidth="1"/>
    <col min="72" max="77" width="10.375" style="86" customWidth="1"/>
    <col min="78" max="78" width="5.00390625" style="86" customWidth="1"/>
    <col min="79" max="79" width="10.25390625" style="86" customWidth="1"/>
    <col min="80" max="16384" width="9.00390625" style="86" customWidth="1"/>
  </cols>
  <sheetData>
    <row r="1" spans="1:79" ht="13.5">
      <c r="A1" s="101"/>
      <c r="B1" s="98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</row>
    <row r="2" spans="1:79" ht="13.5">
      <c r="A2" s="101"/>
      <c r="B2" s="98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</row>
    <row r="3" spans="1:79" ht="13.5">
      <c r="A3" s="101"/>
      <c r="B3" s="98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</row>
    <row r="4" spans="1:79" ht="12.75">
      <c r="A4" s="98"/>
      <c r="B4" s="98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</row>
    <row r="5" spans="1:79" ht="4.5" customHeight="1">
      <c r="A5" s="98"/>
      <c r="B5" s="98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</row>
    <row r="6" spans="1:79" s="99" customFormat="1" ht="12.75">
      <c r="A6" s="98"/>
      <c r="B6" s="98"/>
      <c r="C6" s="97" t="s">
        <v>0</v>
      </c>
      <c r="D6" s="97" t="s">
        <v>0</v>
      </c>
      <c r="E6" s="97" t="s">
        <v>0</v>
      </c>
      <c r="F6" s="97" t="s">
        <v>0</v>
      </c>
      <c r="G6" s="97" t="s">
        <v>1</v>
      </c>
      <c r="H6" s="97" t="s">
        <v>2</v>
      </c>
      <c r="I6" s="97" t="s">
        <v>0</v>
      </c>
      <c r="J6" s="97" t="s">
        <v>3</v>
      </c>
      <c r="K6" s="97" t="s">
        <v>0</v>
      </c>
      <c r="L6" s="97" t="s">
        <v>0</v>
      </c>
      <c r="M6" s="97" t="s">
        <v>0</v>
      </c>
      <c r="N6" s="97" t="s">
        <v>0</v>
      </c>
      <c r="O6" s="97" t="s">
        <v>0</v>
      </c>
      <c r="P6" s="97" t="s">
        <v>0</v>
      </c>
      <c r="Q6" s="97" t="s">
        <v>4</v>
      </c>
      <c r="R6" s="97" t="s">
        <v>0</v>
      </c>
      <c r="S6" s="97" t="s">
        <v>0</v>
      </c>
      <c r="T6" s="97" t="s">
        <v>0</v>
      </c>
      <c r="U6" s="97" t="s">
        <v>657</v>
      </c>
      <c r="V6" s="97" t="s">
        <v>6</v>
      </c>
      <c r="W6" s="97" t="s">
        <v>0</v>
      </c>
      <c r="X6" s="97" t="s">
        <v>5</v>
      </c>
      <c r="Y6" s="97" t="s">
        <v>0</v>
      </c>
      <c r="Z6" s="97" t="s">
        <v>8</v>
      </c>
      <c r="AA6" s="97" t="s">
        <v>0</v>
      </c>
      <c r="AB6" s="97" t="s">
        <v>0</v>
      </c>
      <c r="AC6" s="97" t="s">
        <v>0</v>
      </c>
      <c r="AD6" s="97" t="s">
        <v>0</v>
      </c>
      <c r="AE6" s="97" t="s">
        <v>0</v>
      </c>
      <c r="AF6" s="97" t="s">
        <v>7</v>
      </c>
      <c r="AG6" s="97" t="s">
        <v>4</v>
      </c>
      <c r="AH6" s="97" t="s">
        <v>9</v>
      </c>
      <c r="AI6" s="97" t="s">
        <v>0</v>
      </c>
      <c r="AJ6" s="97" t="s">
        <v>0</v>
      </c>
      <c r="AK6" s="97" t="s">
        <v>0</v>
      </c>
      <c r="AL6" s="97" t="s">
        <v>4</v>
      </c>
      <c r="AM6" s="97" t="s">
        <v>0</v>
      </c>
      <c r="AN6" s="97" t="s">
        <v>0</v>
      </c>
      <c r="AO6" s="97" t="s">
        <v>0</v>
      </c>
      <c r="AP6" s="97" t="s">
        <v>7</v>
      </c>
      <c r="AQ6" s="97" t="s">
        <v>4</v>
      </c>
      <c r="AR6" s="97" t="s">
        <v>0</v>
      </c>
      <c r="AS6" s="97" t="s">
        <v>0</v>
      </c>
      <c r="AT6" s="97" t="s">
        <v>0</v>
      </c>
      <c r="AU6" s="97" t="s">
        <v>0</v>
      </c>
      <c r="AV6" s="97" t="s">
        <v>0</v>
      </c>
      <c r="AW6" s="97" t="s">
        <v>4</v>
      </c>
      <c r="AX6" s="97" t="s">
        <v>0</v>
      </c>
      <c r="AY6" s="97" t="s">
        <v>4</v>
      </c>
      <c r="AZ6" s="97" t="s">
        <v>0</v>
      </c>
      <c r="BA6" s="97" t="s">
        <v>7</v>
      </c>
      <c r="BB6" s="97" t="s">
        <v>0</v>
      </c>
      <c r="BC6" s="97" t="s">
        <v>4</v>
      </c>
      <c r="BD6" s="97" t="s">
        <v>7</v>
      </c>
      <c r="BE6" s="97" t="s">
        <v>0</v>
      </c>
      <c r="BF6" s="97" t="s">
        <v>4</v>
      </c>
      <c r="BG6" s="97" t="s">
        <v>0</v>
      </c>
      <c r="BH6" s="97" t="s">
        <v>66</v>
      </c>
      <c r="BI6" s="97" t="s">
        <v>0</v>
      </c>
      <c r="BJ6" s="97" t="s">
        <v>0</v>
      </c>
      <c r="BK6" s="97" t="s">
        <v>10</v>
      </c>
      <c r="BL6" s="97" t="s">
        <v>0</v>
      </c>
      <c r="BM6" s="97" t="s">
        <v>0</v>
      </c>
      <c r="BN6" s="97" t="s">
        <v>0</v>
      </c>
      <c r="BO6" s="97" t="s">
        <v>0</v>
      </c>
      <c r="BP6" s="97" t="s">
        <v>0</v>
      </c>
      <c r="BQ6" s="97"/>
      <c r="BR6" s="97"/>
      <c r="BS6" s="97"/>
      <c r="BT6" s="97" t="s">
        <v>11</v>
      </c>
      <c r="BU6" s="258" t="s">
        <v>691</v>
      </c>
      <c r="BV6" s="335" t="s">
        <v>688</v>
      </c>
      <c r="BW6" s="335"/>
      <c r="BX6" s="97"/>
      <c r="BY6" s="97"/>
      <c r="BZ6" s="97"/>
      <c r="CA6" s="97" t="s">
        <v>477</v>
      </c>
    </row>
    <row r="7" spans="1:79" s="99" customFormat="1" ht="12.75">
      <c r="A7" s="100"/>
      <c r="B7" s="98"/>
      <c r="C7" s="97" t="s">
        <v>14</v>
      </c>
      <c r="D7" s="97" t="s">
        <v>642</v>
      </c>
      <c r="E7" s="97" t="s">
        <v>18</v>
      </c>
      <c r="F7" s="97" t="s">
        <v>15</v>
      </c>
      <c r="G7" s="97" t="s">
        <v>17</v>
      </c>
      <c r="H7" s="97" t="s">
        <v>17</v>
      </c>
      <c r="I7" s="97" t="s">
        <v>19</v>
      </c>
      <c r="J7" s="97" t="s">
        <v>17</v>
      </c>
      <c r="K7" s="97" t="s">
        <v>21</v>
      </c>
      <c r="L7" s="97" t="s">
        <v>553</v>
      </c>
      <c r="M7" s="97" t="s">
        <v>20</v>
      </c>
      <c r="N7" s="97" t="s">
        <v>22</v>
      </c>
      <c r="O7" s="97" t="s">
        <v>25</v>
      </c>
      <c r="P7" s="97" t="s">
        <v>24</v>
      </c>
      <c r="Q7" s="97" t="s">
        <v>23</v>
      </c>
      <c r="R7" s="97" t="s">
        <v>26</v>
      </c>
      <c r="S7" s="97" t="s">
        <v>27</v>
      </c>
      <c r="T7" s="97" t="s">
        <v>28</v>
      </c>
      <c r="U7" s="97" t="s">
        <v>58</v>
      </c>
      <c r="V7" s="97" t="s">
        <v>33</v>
      </c>
      <c r="W7" s="97" t="s">
        <v>29</v>
      </c>
      <c r="X7" s="97" t="s">
        <v>17</v>
      </c>
      <c r="Y7" s="97" t="s">
        <v>30</v>
      </c>
      <c r="Z7" s="97" t="s">
        <v>36</v>
      </c>
      <c r="AA7" s="97" t="s">
        <v>31</v>
      </c>
      <c r="AB7" s="97" t="s">
        <v>16</v>
      </c>
      <c r="AC7" s="97" t="s">
        <v>30</v>
      </c>
      <c r="AD7" s="97" t="s">
        <v>32</v>
      </c>
      <c r="AE7" s="97" t="s">
        <v>34</v>
      </c>
      <c r="AF7" s="97" t="s">
        <v>35</v>
      </c>
      <c r="AG7" s="97" t="s">
        <v>16</v>
      </c>
      <c r="AH7" s="97" t="s">
        <v>17</v>
      </c>
      <c r="AI7" s="97" t="s">
        <v>37</v>
      </c>
      <c r="AJ7" s="97" t="s">
        <v>38</v>
      </c>
      <c r="AK7" s="97" t="s">
        <v>39</v>
      </c>
      <c r="AL7" s="97" t="s">
        <v>40</v>
      </c>
      <c r="AM7" s="97" t="s">
        <v>41</v>
      </c>
      <c r="AN7" s="97" t="s">
        <v>42</v>
      </c>
      <c r="AO7" s="97" t="s">
        <v>43</v>
      </c>
      <c r="AP7" s="97" t="s">
        <v>35</v>
      </c>
      <c r="AQ7" s="97" t="s">
        <v>44</v>
      </c>
      <c r="AR7" s="97" t="s">
        <v>46</v>
      </c>
      <c r="AS7" s="97" t="s">
        <v>45</v>
      </c>
      <c r="AT7" s="97" t="s">
        <v>47</v>
      </c>
      <c r="AU7" s="97" t="s">
        <v>48</v>
      </c>
      <c r="AV7" s="97" t="s">
        <v>642</v>
      </c>
      <c r="AW7" s="97" t="s">
        <v>49</v>
      </c>
      <c r="AX7" s="97" t="s">
        <v>50</v>
      </c>
      <c r="AY7" s="97" t="s">
        <v>51</v>
      </c>
      <c r="AZ7" s="97" t="s">
        <v>16</v>
      </c>
      <c r="BA7" s="97" t="s">
        <v>35</v>
      </c>
      <c r="BB7" s="97" t="s">
        <v>52</v>
      </c>
      <c r="BC7" s="97" t="s">
        <v>625</v>
      </c>
      <c r="BD7" s="97" t="s">
        <v>58</v>
      </c>
      <c r="BE7" s="97" t="s">
        <v>53</v>
      </c>
      <c r="BF7" s="97" t="s">
        <v>55</v>
      </c>
      <c r="BG7" s="97" t="s">
        <v>54</v>
      </c>
      <c r="BH7" s="97" t="s">
        <v>17</v>
      </c>
      <c r="BI7" s="97" t="s">
        <v>56</v>
      </c>
      <c r="BJ7" s="97" t="s">
        <v>57</v>
      </c>
      <c r="BK7" s="97" t="s">
        <v>58</v>
      </c>
      <c r="BL7" s="97" t="s">
        <v>59</v>
      </c>
      <c r="BM7" s="97" t="s">
        <v>60</v>
      </c>
      <c r="BN7" s="97" t="s">
        <v>61</v>
      </c>
      <c r="BO7" s="97" t="s">
        <v>62</v>
      </c>
      <c r="BP7" s="97" t="s">
        <v>63</v>
      </c>
      <c r="BQ7" s="97"/>
      <c r="BR7" s="97"/>
      <c r="BS7" s="97"/>
      <c r="BT7" s="97" t="s">
        <v>64</v>
      </c>
      <c r="BU7" s="258" t="s">
        <v>692</v>
      </c>
      <c r="BV7" s="335"/>
      <c r="BW7" s="335"/>
      <c r="BX7" s="97"/>
      <c r="BY7" s="97" t="s">
        <v>66</v>
      </c>
      <c r="BZ7" s="97"/>
      <c r="CA7" s="97" t="s">
        <v>64</v>
      </c>
    </row>
    <row r="8" spans="1:79" s="99" customFormat="1" ht="12.75">
      <c r="A8" s="98"/>
      <c r="B8" s="98"/>
      <c r="C8" s="97" t="s">
        <v>67</v>
      </c>
      <c r="D8" s="97" t="s">
        <v>643</v>
      </c>
      <c r="E8" s="97"/>
      <c r="F8" s="97"/>
      <c r="G8" s="97" t="s">
        <v>35</v>
      </c>
      <c r="H8" s="97" t="s">
        <v>68</v>
      </c>
      <c r="I8" s="97" t="s">
        <v>69</v>
      </c>
      <c r="J8" s="97" t="s">
        <v>35</v>
      </c>
      <c r="K8" s="97" t="s">
        <v>69</v>
      </c>
      <c r="L8" s="97"/>
      <c r="M8" s="97"/>
      <c r="N8" s="97" t="s">
        <v>70</v>
      </c>
      <c r="O8" s="97"/>
      <c r="P8" s="97" t="s">
        <v>72</v>
      </c>
      <c r="Q8" s="97" t="s">
        <v>71</v>
      </c>
      <c r="R8" s="97" t="s">
        <v>633</v>
      </c>
      <c r="S8" s="97" t="s">
        <v>73</v>
      </c>
      <c r="T8" s="97" t="s">
        <v>69</v>
      </c>
      <c r="U8" s="97" t="s">
        <v>658</v>
      </c>
      <c r="V8" s="97" t="s">
        <v>77</v>
      </c>
      <c r="W8" s="97" t="s">
        <v>469</v>
      </c>
      <c r="X8" s="97" t="s">
        <v>35</v>
      </c>
      <c r="Y8" s="97" t="s">
        <v>74</v>
      </c>
      <c r="Z8" s="97" t="s">
        <v>81</v>
      </c>
      <c r="AA8" s="97" t="s">
        <v>73</v>
      </c>
      <c r="AB8" s="97" t="s">
        <v>76</v>
      </c>
      <c r="AC8" s="97" t="s">
        <v>75</v>
      </c>
      <c r="AD8" s="97"/>
      <c r="AE8" s="97" t="s">
        <v>78</v>
      </c>
      <c r="AF8" s="97" t="s">
        <v>80</v>
      </c>
      <c r="AG8" s="97" t="s">
        <v>79</v>
      </c>
      <c r="AH8" s="97" t="s">
        <v>93</v>
      </c>
      <c r="AI8" s="97" t="s">
        <v>82</v>
      </c>
      <c r="AJ8" s="97" t="s">
        <v>83</v>
      </c>
      <c r="AK8" s="97"/>
      <c r="AL8" s="97" t="s">
        <v>84</v>
      </c>
      <c r="AM8" s="97" t="s">
        <v>85</v>
      </c>
      <c r="AN8" s="97" t="s">
        <v>86</v>
      </c>
      <c r="AO8" s="97" t="s">
        <v>87</v>
      </c>
      <c r="AP8" s="97" t="s">
        <v>98</v>
      </c>
      <c r="AQ8" s="97" t="s">
        <v>88</v>
      </c>
      <c r="AR8" s="97" t="s">
        <v>84</v>
      </c>
      <c r="AS8" s="97" t="s">
        <v>89</v>
      </c>
      <c r="AT8" s="97" t="s">
        <v>73</v>
      </c>
      <c r="AU8" s="97" t="s">
        <v>90</v>
      </c>
      <c r="AV8" s="97" t="s">
        <v>644</v>
      </c>
      <c r="AW8" s="97" t="s">
        <v>91</v>
      </c>
      <c r="AX8" s="97" t="s">
        <v>88</v>
      </c>
      <c r="AY8" s="97" t="s">
        <v>92</v>
      </c>
      <c r="AZ8" s="97" t="s">
        <v>94</v>
      </c>
      <c r="BA8" s="97" t="s">
        <v>95</v>
      </c>
      <c r="BB8" s="97" t="s">
        <v>96</v>
      </c>
      <c r="BC8" s="97" t="s">
        <v>97</v>
      </c>
      <c r="BD8" s="97" t="s">
        <v>652</v>
      </c>
      <c r="BE8" s="97" t="s">
        <v>99</v>
      </c>
      <c r="BF8" s="97" t="s">
        <v>101</v>
      </c>
      <c r="BG8" s="97" t="s">
        <v>100</v>
      </c>
      <c r="BH8" s="97" t="s">
        <v>35</v>
      </c>
      <c r="BI8" s="97" t="s">
        <v>102</v>
      </c>
      <c r="BJ8" s="97" t="s">
        <v>103</v>
      </c>
      <c r="BK8" s="97" t="s">
        <v>104</v>
      </c>
      <c r="BL8" s="97" t="s">
        <v>105</v>
      </c>
      <c r="BM8" s="97" t="s">
        <v>106</v>
      </c>
      <c r="BN8" s="97" t="s">
        <v>107</v>
      </c>
      <c r="BO8" s="97" t="s">
        <v>67</v>
      </c>
      <c r="BP8" s="97"/>
      <c r="BQ8" s="97"/>
      <c r="BR8" s="97"/>
      <c r="BS8" s="97"/>
      <c r="BT8" s="97" t="s">
        <v>108</v>
      </c>
      <c r="BU8" s="258" t="s">
        <v>687</v>
      </c>
      <c r="BV8" s="258" t="s">
        <v>689</v>
      </c>
      <c r="BW8" s="258" t="s">
        <v>690</v>
      </c>
      <c r="BX8" s="97" t="s">
        <v>109</v>
      </c>
      <c r="BY8" s="97" t="s">
        <v>65</v>
      </c>
      <c r="BZ8" s="97"/>
      <c r="CA8" s="97" t="s">
        <v>476</v>
      </c>
    </row>
    <row r="9" spans="1:79" s="229" customFormat="1" ht="12.75">
      <c r="A9" s="242"/>
      <c r="B9" s="242"/>
      <c r="C9" s="228" t="s">
        <v>110</v>
      </c>
      <c r="D9" s="228" t="s">
        <v>111</v>
      </c>
      <c r="E9" s="228" t="s">
        <v>112</v>
      </c>
      <c r="F9" s="228" t="s">
        <v>113</v>
      </c>
      <c r="G9" s="228" t="s">
        <v>114</v>
      </c>
      <c r="H9" s="228" t="s">
        <v>115</v>
      </c>
      <c r="I9" s="228" t="s">
        <v>116</v>
      </c>
      <c r="J9" s="228" t="s">
        <v>117</v>
      </c>
      <c r="K9" s="228" t="s">
        <v>391</v>
      </c>
      <c r="L9" s="228" t="s">
        <v>392</v>
      </c>
      <c r="M9" s="228" t="s">
        <v>118</v>
      </c>
      <c r="N9" s="228" t="s">
        <v>119</v>
      </c>
      <c r="O9" s="228" t="s">
        <v>120</v>
      </c>
      <c r="P9" s="228" t="s">
        <v>121</v>
      </c>
      <c r="Q9" s="228" t="s">
        <v>122</v>
      </c>
      <c r="R9" s="228" t="s">
        <v>123</v>
      </c>
      <c r="S9" s="228" t="s">
        <v>124</v>
      </c>
      <c r="T9" s="228" t="s">
        <v>125</v>
      </c>
      <c r="U9" s="228" t="s">
        <v>126</v>
      </c>
      <c r="V9" s="228" t="s">
        <v>127</v>
      </c>
      <c r="W9" s="228" t="s">
        <v>128</v>
      </c>
      <c r="X9" s="228" t="s">
        <v>129</v>
      </c>
      <c r="Y9" s="228" t="s">
        <v>130</v>
      </c>
      <c r="Z9" s="228" t="s">
        <v>131</v>
      </c>
      <c r="AA9" s="228" t="s">
        <v>132</v>
      </c>
      <c r="AB9" s="228" t="s">
        <v>133</v>
      </c>
      <c r="AC9" s="228" t="s">
        <v>134</v>
      </c>
      <c r="AD9" s="228" t="s">
        <v>135</v>
      </c>
      <c r="AE9" s="228" t="s">
        <v>136</v>
      </c>
      <c r="AF9" s="228" t="s">
        <v>137</v>
      </c>
      <c r="AG9" s="228" t="s">
        <v>138</v>
      </c>
      <c r="AH9" s="228" t="s">
        <v>139</v>
      </c>
      <c r="AI9" s="228" t="s">
        <v>140</v>
      </c>
      <c r="AJ9" s="228" t="s">
        <v>141</v>
      </c>
      <c r="AK9" s="228" t="s">
        <v>142</v>
      </c>
      <c r="AL9" s="228" t="s">
        <v>143</v>
      </c>
      <c r="AM9" s="228" t="s">
        <v>144</v>
      </c>
      <c r="AN9" s="228" t="s">
        <v>145</v>
      </c>
      <c r="AO9" s="228" t="s">
        <v>146</v>
      </c>
      <c r="AP9" s="228" t="s">
        <v>147</v>
      </c>
      <c r="AQ9" s="228" t="s">
        <v>148</v>
      </c>
      <c r="AR9" s="228" t="s">
        <v>149</v>
      </c>
      <c r="AS9" s="228" t="s">
        <v>150</v>
      </c>
      <c r="AT9" s="228" t="s">
        <v>151</v>
      </c>
      <c r="AU9" s="228" t="s">
        <v>152</v>
      </c>
      <c r="AV9" s="228" t="s">
        <v>153</v>
      </c>
      <c r="AW9" s="228" t="s">
        <v>154</v>
      </c>
      <c r="AX9" s="228" t="s">
        <v>155</v>
      </c>
      <c r="AY9" s="228" t="s">
        <v>156</v>
      </c>
      <c r="AZ9" s="228" t="s">
        <v>157</v>
      </c>
      <c r="BA9" s="228" t="s">
        <v>158</v>
      </c>
      <c r="BB9" s="228" t="s">
        <v>159</v>
      </c>
      <c r="BC9" s="228" t="s">
        <v>471</v>
      </c>
      <c r="BD9" s="228" t="s">
        <v>160</v>
      </c>
      <c r="BE9" s="228" t="s">
        <v>161</v>
      </c>
      <c r="BF9" s="228" t="s">
        <v>162</v>
      </c>
      <c r="BG9" s="228" t="s">
        <v>163</v>
      </c>
      <c r="BH9" s="228" t="s">
        <v>164</v>
      </c>
      <c r="BI9" s="228" t="s">
        <v>472</v>
      </c>
      <c r="BJ9" s="228" t="s">
        <v>165</v>
      </c>
      <c r="BK9" s="228" t="s">
        <v>166</v>
      </c>
      <c r="BL9" s="228" t="s">
        <v>167</v>
      </c>
      <c r="BM9" s="228" t="s">
        <v>168</v>
      </c>
      <c r="BN9" s="228" t="s">
        <v>169</v>
      </c>
      <c r="BO9" s="228" t="s">
        <v>170</v>
      </c>
      <c r="BP9" s="228" t="s">
        <v>171</v>
      </c>
      <c r="BQ9" s="228"/>
      <c r="BR9" s="228"/>
      <c r="BS9" s="228"/>
      <c r="BT9" s="228"/>
      <c r="BU9" s="228" t="s">
        <v>172</v>
      </c>
      <c r="BV9" s="228" t="s">
        <v>622</v>
      </c>
      <c r="BW9" s="228" t="s">
        <v>663</v>
      </c>
      <c r="BX9" s="228" t="s">
        <v>648</v>
      </c>
      <c r="BY9" s="228" t="s">
        <v>554</v>
      </c>
      <c r="BZ9" s="228"/>
      <c r="CA9" s="228" t="s">
        <v>649</v>
      </c>
    </row>
    <row r="10" spans="1:81" ht="12.75">
      <c r="A10" s="98"/>
      <c r="B10" s="191" t="s">
        <v>176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91"/>
      <c r="CC10" s="91"/>
    </row>
    <row r="11" spans="1:81" ht="12.75" customHeight="1">
      <c r="A11" s="127" t="s">
        <v>177</v>
      </c>
      <c r="B11" s="190">
        <v>1</v>
      </c>
      <c r="C11" s="246">
        <f>'3.2. Yfirlit'!B19/'3.2. Yfirlit'!B12</f>
        <v>0.3216279746166074</v>
      </c>
      <c r="D11" s="246">
        <f>'3.2. Yfirlit'!C19/'3.2. Yfirlit'!C12</f>
        <v>1.059160195323494</v>
      </c>
      <c r="E11" s="246">
        <f>'3.2. Yfirlit'!D19/'3.2. Yfirlit'!D12</f>
        <v>0.6583699496661654</v>
      </c>
      <c r="F11" s="246">
        <f>'3.2. Yfirlit'!E19/'3.2. Yfirlit'!E12</f>
        <v>0.456876403734744</v>
      </c>
      <c r="G11" s="246">
        <f>'3.2. Yfirlit'!F19/'3.2. Yfirlit'!F12</f>
        <v>0.5146844327927316</v>
      </c>
      <c r="H11" s="246">
        <f>'3.2. Yfirlit'!G19/'3.2. Yfirlit'!G12</f>
        <v>0.14528491268312904</v>
      </c>
      <c r="I11" s="246">
        <f>'3.2. Yfirlit'!H19/'3.2. Yfirlit'!H12</f>
        <v>0.461322620228128</v>
      </c>
      <c r="J11" s="246">
        <f>'3.2. Yfirlit'!I19/'3.2. Yfirlit'!I12</f>
        <v>1.0726872404317147</v>
      </c>
      <c r="K11" s="246">
        <f>'3.2. Yfirlit'!J19/'3.2. Yfirlit'!J12</f>
        <v>0.2900600299594699</v>
      </c>
      <c r="L11" s="246">
        <f>'3.2. Yfirlit'!K19/'3.2. Yfirlit'!K12</f>
        <v>0.14913498794343902</v>
      </c>
      <c r="M11" s="246">
        <f>'3.2. Yfirlit'!L19/'3.2. Yfirlit'!L12</f>
        <v>1.0931468360809082</v>
      </c>
      <c r="N11" s="246">
        <f>'3.2. Yfirlit'!M19/'3.2. Yfirlit'!M12</f>
        <v>0.4243894990262589</v>
      </c>
      <c r="O11" s="246">
        <f>'3.2. Yfirlit'!N19/'3.2. Yfirlit'!N12</f>
        <v>0.12500134444379282</v>
      </c>
      <c r="P11" s="246">
        <f>'3.2. Yfirlit'!O19/'3.2. Yfirlit'!O12</f>
        <v>0.5374745261457301</v>
      </c>
      <c r="Q11" s="246">
        <f>'3.2. Yfirlit'!P19/'3.2. Yfirlit'!P12</f>
        <v>0.6260563732909934</v>
      </c>
      <c r="R11" s="246">
        <f>'3.2. Yfirlit'!Q19/'3.2. Yfirlit'!Q12</f>
        <v>0.4071151835903883</v>
      </c>
      <c r="S11" s="246">
        <f>'3.2. Yfirlit'!R19/'3.2. Yfirlit'!R12</f>
        <v>0.09444660964784883</v>
      </c>
      <c r="T11" s="246">
        <f>'3.2. Yfirlit'!S19/'3.2. Yfirlit'!S12</f>
        <v>0.5538853434688659</v>
      </c>
      <c r="U11" s="246">
        <f>'3.2. Yfirlit'!T19/'3.2. Yfirlit'!T12</f>
        <v>0.5435034917389202</v>
      </c>
      <c r="V11" s="246">
        <f>'3.2. Yfirlit'!U19/'3.2. Yfirlit'!U12</f>
        <v>0.046144054638574745</v>
      </c>
      <c r="W11" s="246">
        <f>'3.2. Yfirlit'!V19/'3.2. Yfirlit'!V12</f>
        <v>0.7171104937830963</v>
      </c>
      <c r="X11" s="246">
        <f>'3.2. Yfirlit'!W19/'3.2. Yfirlit'!W12</f>
        <v>0.060270384099630814</v>
      </c>
      <c r="Y11" s="246">
        <f>'3.2. Yfirlit'!X19/'3.2. Yfirlit'!X12</f>
        <v>0.39786010712885556</v>
      </c>
      <c r="Z11" s="246">
        <f>'3.2. Yfirlit'!Y19/'3.2. Yfirlit'!Y12</f>
        <v>0.03591971732084934</v>
      </c>
      <c r="AA11" s="246">
        <f>'3.2. Yfirlit'!Z19/'3.2. Yfirlit'!Z12</f>
        <v>0.041475855302534954</v>
      </c>
      <c r="AB11" s="246">
        <f>'3.2. Yfirlit'!AA19/'3.2. Yfirlit'!AA12</f>
        <v>0.8504802072107294</v>
      </c>
      <c r="AC11" s="246">
        <f>'3.2. Yfirlit'!AB19/'3.2. Yfirlit'!AB12</f>
        <v>0.5805471692977073</v>
      </c>
      <c r="AD11" s="246">
        <f>'3.2. Yfirlit'!AC19/'3.2. Yfirlit'!AC12</f>
        <v>0.8568022125859969</v>
      </c>
      <c r="AE11" s="246"/>
      <c r="AF11" s="246">
        <f>'3.2. Yfirlit'!AE19/'3.2. Yfirlit'!AE12</f>
        <v>0.39918777144637635</v>
      </c>
      <c r="AG11" s="246"/>
      <c r="AH11" s="246">
        <f>'3.2. Yfirlit'!AG19/'3.2. Yfirlit'!AG12</f>
        <v>0.014797375918508791</v>
      </c>
      <c r="AI11" s="246">
        <f>'3.2. Yfirlit'!AH19/'3.2. Yfirlit'!AH12</f>
        <v>0.7623810726580816</v>
      </c>
      <c r="AJ11" s="246">
        <f>'3.2. Yfirlit'!AI19/'3.2. Yfirlit'!AI12</f>
        <v>0.38805392168666697</v>
      </c>
      <c r="AK11" s="246">
        <f>'3.2. Yfirlit'!AJ19/'3.2. Yfirlit'!AJ12</f>
        <v>0.29934626416424903</v>
      </c>
      <c r="AL11" s="246">
        <f>'3.2. Yfirlit'!AK19/'3.2. Yfirlit'!AK12</f>
        <v>0.2789913577732284</v>
      </c>
      <c r="AM11" s="246">
        <f>'3.2. Yfirlit'!AL19/'3.2. Yfirlit'!AL12</f>
        <v>0.1948748666964431</v>
      </c>
      <c r="AN11" s="246">
        <f>'3.2. Yfirlit'!AM19/'3.2. Yfirlit'!AM12</f>
        <v>0.5775533325255414</v>
      </c>
      <c r="AO11" s="246">
        <f>'3.2. Yfirlit'!AN19/'3.2. Yfirlit'!AN12</f>
        <v>0.6050403133234613</v>
      </c>
      <c r="AP11" s="246">
        <f>'3.2. Yfirlit'!AO19/'3.2. Yfirlit'!AO12</f>
        <v>0.010634387099879796</v>
      </c>
      <c r="AQ11" s="246">
        <f>'3.2. Yfirlit'!AP19/'3.2. Yfirlit'!AP12</f>
        <v>0.4849851522633508</v>
      </c>
      <c r="AR11" s="246">
        <f>'3.2. Yfirlit'!AQ19/'3.2. Yfirlit'!AQ12</f>
        <v>0.5668471950876888</v>
      </c>
      <c r="AS11" s="246">
        <f>'3.2. Yfirlit'!AR19/'3.2. Yfirlit'!AR12</f>
        <v>0.894697073511638</v>
      </c>
      <c r="AT11" s="246">
        <f>'3.2. Yfirlit'!AS19/'3.2. Yfirlit'!AS12</f>
        <v>0.2191597642927713</v>
      </c>
      <c r="AU11" s="246">
        <f>'3.2. Yfirlit'!AT19/'3.2. Yfirlit'!AT12</f>
        <v>0.4900292182526246</v>
      </c>
      <c r="AV11" s="246">
        <f>'3.2. Yfirlit'!AU19/'3.2. Yfirlit'!AU12</f>
        <v>0</v>
      </c>
      <c r="AW11" s="246"/>
      <c r="AX11" s="246">
        <f>'3.2. Yfirlit'!AW19/'3.2. Yfirlit'!AW12</f>
        <v>0.9950063344256475</v>
      </c>
      <c r="AY11" s="246"/>
      <c r="AZ11" s="246"/>
      <c r="BA11" s="246"/>
      <c r="BB11" s="246"/>
      <c r="BC11" s="246">
        <f>'3.2. Yfirlit'!BB19/'3.2. Yfirlit'!BB12</f>
        <v>0.8197030100968888</v>
      </c>
      <c r="BD11" s="246">
        <f>'3.2. Yfirlit'!BC19/'3.2. Yfirlit'!BC12</f>
        <v>0.2739508883972509</v>
      </c>
      <c r="BE11" s="246">
        <f>'3.2. Yfirlit'!BD19/'3.2. Yfirlit'!BD12</f>
        <v>0.7890562079174654</v>
      </c>
      <c r="BF11" s="246"/>
      <c r="BG11" s="246"/>
      <c r="BH11" s="246">
        <f>'3.2. Yfirlit'!BG19/'3.2. Yfirlit'!BG12</f>
        <v>0</v>
      </c>
      <c r="BI11" s="246">
        <f>'3.2. Yfirlit'!BH19/'3.2. Yfirlit'!BH12</f>
        <v>1.761191610830064</v>
      </c>
      <c r="BJ11" s="246">
        <f>'3.2. Yfirlit'!BI19/'3.2. Yfirlit'!BI12</f>
        <v>1.1612599144185107</v>
      </c>
      <c r="BK11" s="246">
        <f>'3.2. Yfirlit'!BJ19/'3.2. Yfirlit'!BJ12</f>
        <v>-0.02115397496293311</v>
      </c>
      <c r="BL11" s="246">
        <f>'3.2. Yfirlit'!BK19/'3.2. Yfirlit'!BK12</f>
        <v>1.4013389887055487</v>
      </c>
      <c r="BM11" s="246"/>
      <c r="BN11" s="246"/>
      <c r="BO11" s="246">
        <f>'3.2. Yfirlit'!BN19/'3.2. Yfirlit'!BN12</f>
        <v>1.006793429272493</v>
      </c>
      <c r="BP11" s="246">
        <f>'3.2. Yfirlit'!BO19/'3.2. Yfirlit'!BO12</f>
        <v>0.9849463366172805</v>
      </c>
      <c r="BQ11" s="246"/>
      <c r="BR11" s="246"/>
      <c r="BS11" s="246"/>
      <c r="BT11" s="246">
        <f>'3.2. Yfirlit'!BS19/'3.2. Yfirlit'!BS12</f>
        <v>0.47253424557998386</v>
      </c>
      <c r="BU11" s="246">
        <f>'3.2. Yfirlit'!BT19/'3.2. Yfirlit'!BT12</f>
        <v>0.6689757570470368</v>
      </c>
      <c r="BV11" s="246">
        <f>'3.2. Yfirlit'!BU19/'3.2. Yfirlit'!BU12</f>
        <v>0.4737795098768491</v>
      </c>
      <c r="BW11" s="246">
        <f>'3.2. Yfirlit'!BV19/'3.2. Yfirlit'!BV12</f>
        <v>0.412813931540221</v>
      </c>
      <c r="BX11" s="246">
        <f>'3.2. Yfirlit'!BW19/'3.2. Yfirlit'!BW12</f>
        <v>0.5192169225163935</v>
      </c>
      <c r="BY11" s="246">
        <f>'3.2. Yfirlit'!BX19/'3.2. Yfirlit'!BX12</f>
        <v>0.041002359842606896</v>
      </c>
      <c r="BZ11" s="246"/>
      <c r="CA11" s="246">
        <f>'3.2. Yfirlit'!BZ19/'3.2. Yfirlit'!BZ12</f>
        <v>0.4725342455799836</v>
      </c>
      <c r="CB11" s="91"/>
      <c r="CC11" s="91"/>
    </row>
    <row r="12" spans="1:80" ht="18.75" customHeight="1">
      <c r="A12" s="127" t="s">
        <v>178</v>
      </c>
      <c r="B12" s="190">
        <v>2</v>
      </c>
      <c r="C12" s="319">
        <f>('3.2. Yfirlit'!B43+'3.2. Yfirlit'!B47-'3.2. Yfirlit'!B45)/'3.2. Yfirlit'!B12</f>
        <v>0.005853133074063568</v>
      </c>
      <c r="D12" s="319">
        <f>('3.2. Yfirlit'!C43+'3.2. Yfirlit'!C47-'3.2. Yfirlit'!C45)/'3.2. Yfirlit'!C12</f>
        <v>0.01741294793316612</v>
      </c>
      <c r="E12" s="319">
        <f>('3.2. Yfirlit'!D43+'3.2. Yfirlit'!D47-'3.2. Yfirlit'!D45)/'3.2. Yfirlit'!D12</f>
        <v>0.020620118659270926</v>
      </c>
      <c r="F12" s="319">
        <f>('3.2. Yfirlit'!E43+'3.2. Yfirlit'!E47-'3.2. Yfirlit'!E45)/'3.2. Yfirlit'!E12</f>
        <v>0.019379224548384328</v>
      </c>
      <c r="G12" s="319">
        <f>('3.2. Yfirlit'!F43+'3.2. Yfirlit'!F47-'3.2. Yfirlit'!F45)/'3.2. Yfirlit'!F12</f>
        <v>0.021545746709939688</v>
      </c>
      <c r="H12" s="319">
        <f>('3.2. Yfirlit'!G43+'3.2. Yfirlit'!G47-'3.2. Yfirlit'!G45)/'3.2. Yfirlit'!G12</f>
        <v>0.03397165875092055</v>
      </c>
      <c r="I12" s="319">
        <f>('3.2. Yfirlit'!H43+'3.2. Yfirlit'!H47-'3.2. Yfirlit'!H45)/'3.2. Yfirlit'!H12</f>
        <v>0.011911619074172859</v>
      </c>
      <c r="J12" s="319">
        <f>('3.2. Yfirlit'!I43+'3.2. Yfirlit'!I47-'3.2. Yfirlit'!I45)/'3.2. Yfirlit'!I12</f>
        <v>0.04712586687660914</v>
      </c>
      <c r="K12" s="319">
        <f>('3.2. Yfirlit'!J43+'3.2. Yfirlit'!J47-'3.2. Yfirlit'!J45)/'3.2. Yfirlit'!J12</f>
        <v>0.04184302006647098</v>
      </c>
      <c r="L12" s="319">
        <f>('3.2. Yfirlit'!K43+'3.2. Yfirlit'!K47-'3.2. Yfirlit'!K45)/'3.2. Yfirlit'!K12</f>
        <v>0.035128757339343446</v>
      </c>
      <c r="M12" s="319">
        <f>('3.2. Yfirlit'!L43+'3.2. Yfirlit'!L47-'3.2. Yfirlit'!L45)/'3.2. Yfirlit'!L12</f>
        <v>0.045142135986121365</v>
      </c>
      <c r="N12" s="319">
        <f>('3.2. Yfirlit'!M43+'3.2. Yfirlit'!M47-'3.2. Yfirlit'!M45)/'3.2. Yfirlit'!M12</f>
        <v>0.06213318949016662</v>
      </c>
      <c r="O12" s="319">
        <f>('3.2. Yfirlit'!N43+'3.2. Yfirlit'!N47-'3.2. Yfirlit'!N45)/'3.2. Yfirlit'!N12</f>
        <v>0.017211286193875856</v>
      </c>
      <c r="P12" s="319">
        <f>('3.2. Yfirlit'!O43+'3.2. Yfirlit'!O47-'3.2. Yfirlit'!O45)/'3.2. Yfirlit'!O12</f>
        <v>0.016920401603388414</v>
      </c>
      <c r="Q12" s="319">
        <f>('3.2. Yfirlit'!P43+'3.2. Yfirlit'!P47-'3.2. Yfirlit'!P45)/'3.2. Yfirlit'!P12</f>
        <v>0.0355103241255541</v>
      </c>
      <c r="R12" s="319">
        <f>('3.2. Yfirlit'!Q43+'3.2. Yfirlit'!Q47-'3.2. Yfirlit'!Q45)/'3.2. Yfirlit'!Q12</f>
        <v>0.041756252004255326</v>
      </c>
      <c r="S12" s="319">
        <f>('3.2. Yfirlit'!R43+'3.2. Yfirlit'!R47-'3.2. Yfirlit'!R45)/'3.2. Yfirlit'!R12</f>
        <v>0.01699118530456327</v>
      </c>
      <c r="T12" s="319">
        <f>('3.2. Yfirlit'!S43+'3.2. Yfirlit'!S47-'3.2. Yfirlit'!S45)/'3.2. Yfirlit'!S12</f>
        <v>0.02806090729146713</v>
      </c>
      <c r="U12" s="319">
        <f>('3.2. Yfirlit'!T43+'3.2. Yfirlit'!T47-'3.2. Yfirlit'!T45)/'3.2. Yfirlit'!T12</f>
        <v>-0.005087143458439684</v>
      </c>
      <c r="V12" s="319">
        <f>('3.2. Yfirlit'!U43+'3.2. Yfirlit'!U47-'3.2. Yfirlit'!U45)/'3.2. Yfirlit'!U12</f>
        <v>-0.0010660068697644586</v>
      </c>
      <c r="W12" s="319">
        <f>('3.2. Yfirlit'!V43+'3.2. Yfirlit'!V47-'3.2. Yfirlit'!V45)/'3.2. Yfirlit'!V12</f>
        <v>0.017075462058503812</v>
      </c>
      <c r="X12" s="319">
        <f>('3.2. Yfirlit'!W43+'3.2. Yfirlit'!W47-'3.2. Yfirlit'!W45)/'3.2. Yfirlit'!W12</f>
        <v>0.00932781412303936</v>
      </c>
      <c r="Y12" s="319">
        <f>('3.2. Yfirlit'!X43+'3.2. Yfirlit'!X47-'3.2. Yfirlit'!X45)/'3.2. Yfirlit'!X12</f>
        <v>0.05595983180022774</v>
      </c>
      <c r="Z12" s="319">
        <f>('3.2. Yfirlit'!Y43+'3.2. Yfirlit'!Y47-'3.2. Yfirlit'!Y45)/'3.2. Yfirlit'!Y12</f>
        <v>0.019385198739570345</v>
      </c>
      <c r="AA12" s="319">
        <f>('3.2. Yfirlit'!Z43+'3.2. Yfirlit'!Z47-'3.2. Yfirlit'!Z45)/'3.2. Yfirlit'!Z12</f>
        <v>0.01769026760263372</v>
      </c>
      <c r="AB12" s="319">
        <f>('3.2. Yfirlit'!AA43+'3.2. Yfirlit'!AA47-'3.2. Yfirlit'!AA45)/'3.2. Yfirlit'!AA12</f>
        <v>0.016705696650861954</v>
      </c>
      <c r="AC12" s="319">
        <f>('3.2. Yfirlit'!AB43+'3.2. Yfirlit'!AB47-'3.2. Yfirlit'!AB45)/'3.2. Yfirlit'!AB12</f>
        <v>0.049123735897249714</v>
      </c>
      <c r="AD12" s="319">
        <f>('3.2. Yfirlit'!AC43+'3.2. Yfirlit'!AC47-'3.2. Yfirlit'!AC45)/'3.2. Yfirlit'!AC12</f>
        <v>0.012715258452800096</v>
      </c>
      <c r="AE12" s="319"/>
      <c r="AF12" s="319">
        <f>('3.2. Yfirlit'!AE43+'3.2. Yfirlit'!AE47-'3.2. Yfirlit'!AE45)/'3.2. Yfirlit'!AE12</f>
        <v>0.014411740233851002</v>
      </c>
      <c r="AG12" s="319"/>
      <c r="AH12" s="319">
        <f>('3.2. Yfirlit'!AG43+'3.2. Yfirlit'!AG47-'3.2. Yfirlit'!AG45)/'3.2. Yfirlit'!AG12</f>
        <v>0.012529058584553401</v>
      </c>
      <c r="AI12" s="319">
        <f>('3.2. Yfirlit'!AH43+'3.2. Yfirlit'!AH47-'3.2. Yfirlit'!AH45)/'3.2. Yfirlit'!AH12</f>
        <v>0.02856719413135915</v>
      </c>
      <c r="AJ12" s="319">
        <f>('3.2. Yfirlit'!AI43+'3.2. Yfirlit'!AI47-'3.2. Yfirlit'!AI45)/'3.2. Yfirlit'!AI12</f>
        <v>0.05044839207837758</v>
      </c>
      <c r="AK12" s="319">
        <f>('3.2. Yfirlit'!AJ43+'3.2. Yfirlit'!AJ47-'3.2. Yfirlit'!AJ45)/'3.2. Yfirlit'!AJ12</f>
        <v>0.07384665162019285</v>
      </c>
      <c r="AL12" s="319">
        <f>('3.2. Yfirlit'!AK43+'3.2. Yfirlit'!AK47-'3.2. Yfirlit'!AK45)/'3.2. Yfirlit'!AK12</f>
        <v>0.01930187100041033</v>
      </c>
      <c r="AM12" s="319">
        <f>('3.2. Yfirlit'!AL43+'3.2. Yfirlit'!AL47-'3.2. Yfirlit'!AL45)/'3.2. Yfirlit'!AL12</f>
        <v>0.018777556524433837</v>
      </c>
      <c r="AN12" s="319">
        <f>('3.2. Yfirlit'!AM43+'3.2. Yfirlit'!AM47-'3.2. Yfirlit'!AM45)/'3.2. Yfirlit'!AM12</f>
        <v>0.025908873581627585</v>
      </c>
      <c r="AO12" s="319">
        <f>('3.2. Yfirlit'!AN43+'3.2. Yfirlit'!AN47-'3.2. Yfirlit'!AN45)/'3.2. Yfirlit'!AN12</f>
        <v>0.02155852003775474</v>
      </c>
      <c r="AP12" s="319">
        <f>('3.2. Yfirlit'!AO43+'3.2. Yfirlit'!AO47-'3.2. Yfirlit'!AO45)/'3.2. Yfirlit'!AO12</f>
        <v>0.006872508352962101</v>
      </c>
      <c r="AQ12" s="319">
        <f>('3.2. Yfirlit'!AP43+'3.2. Yfirlit'!AP47-'3.2. Yfirlit'!AP45)/'3.2. Yfirlit'!AP12</f>
        <v>0.04878300978036982</v>
      </c>
      <c r="AR12" s="319">
        <f>('3.2. Yfirlit'!AQ43+'3.2. Yfirlit'!AQ47-'3.2. Yfirlit'!AQ45)/'3.2. Yfirlit'!AQ12</f>
        <v>0.09387494441123266</v>
      </c>
      <c r="AS12" s="319">
        <f>('3.2. Yfirlit'!AR43+'3.2. Yfirlit'!AR47-'3.2. Yfirlit'!AR45)/'3.2. Yfirlit'!AR12</f>
        <v>0.044497425670479436</v>
      </c>
      <c r="AT12" s="319">
        <f>('3.2. Yfirlit'!AS43+'3.2. Yfirlit'!AS47-'3.2. Yfirlit'!AS45)/'3.2. Yfirlit'!AS12</f>
        <v>0.030268315900531667</v>
      </c>
      <c r="AU12" s="319">
        <f>('3.2. Yfirlit'!AT43+'3.2. Yfirlit'!AT47-'3.2. Yfirlit'!AT45)/'3.2. Yfirlit'!AT12</f>
        <v>0.0441086353811569</v>
      </c>
      <c r="AV12" s="319">
        <f>('3.2. Yfirlit'!AU43+'3.2. Yfirlit'!AU47-'3.2. Yfirlit'!AU45)/'3.2. Yfirlit'!AU12</f>
        <v>0.014458985644885038</v>
      </c>
      <c r="AW12" s="319"/>
      <c r="AX12" s="319">
        <f>('3.2. Yfirlit'!AW43+'3.2. Yfirlit'!AW47-'3.2. Yfirlit'!AW45)/'3.2. Yfirlit'!AW12</f>
        <v>0.02068791237248222</v>
      </c>
      <c r="AY12" s="319"/>
      <c r="AZ12" s="319"/>
      <c r="BA12" s="319"/>
      <c r="BB12" s="319"/>
      <c r="BC12" s="319">
        <f>('3.2. Yfirlit'!BB43+'3.2. Yfirlit'!BB47-'3.2. Yfirlit'!BB45)/'3.2. Yfirlit'!BB12</f>
        <v>0.04740154222268057</v>
      </c>
      <c r="BD12" s="319">
        <f>('3.2. Yfirlit'!BC43+'3.2. Yfirlit'!BC47-'3.2. Yfirlit'!BC45)/'3.2. Yfirlit'!BC12</f>
        <v>0.07761489677570534</v>
      </c>
      <c r="BE12" s="319">
        <f>('3.2. Yfirlit'!BD43+'3.2. Yfirlit'!BD47-'3.2. Yfirlit'!BD45)/'3.2. Yfirlit'!BD12</f>
        <v>0.17839934158954165</v>
      </c>
      <c r="BF12" s="319"/>
      <c r="BG12" s="319"/>
      <c r="BH12" s="319">
        <f>('3.2. Yfirlit'!BG43+'3.2. Yfirlit'!BG47-'3.2. Yfirlit'!BG45)/'3.2. Yfirlit'!BG12</f>
        <v>0.004485789496224223</v>
      </c>
      <c r="BI12" s="319">
        <f>('3.2. Yfirlit'!BH43+'3.2. Yfirlit'!BH47-'3.2. Yfirlit'!BH45)/'3.2. Yfirlit'!BH12</f>
        <v>0.057923596178872695</v>
      </c>
      <c r="BJ12" s="319">
        <f>('3.2. Yfirlit'!BI43+'3.2. Yfirlit'!BI47-'3.2. Yfirlit'!BI45)/'3.2. Yfirlit'!BI12</f>
        <v>0.032196697419135195</v>
      </c>
      <c r="BK12" s="319">
        <f>('3.2. Yfirlit'!BJ43+'3.2. Yfirlit'!BJ47-'3.2. Yfirlit'!BJ45)/'3.2. Yfirlit'!BJ12</f>
        <v>-0.2279480879986503</v>
      </c>
      <c r="BL12" s="319">
        <f>('3.2. Yfirlit'!BK43+'3.2. Yfirlit'!BK47-'3.2. Yfirlit'!BK45)/'3.2. Yfirlit'!BK12</f>
        <v>0.021889608973421255</v>
      </c>
      <c r="BM12" s="319"/>
      <c r="BN12" s="319"/>
      <c r="BO12" s="319">
        <f>('3.2. Yfirlit'!BN43+'3.2. Yfirlit'!BN47-'3.2. Yfirlit'!BN45)/'3.2. Yfirlit'!BN12</f>
        <v>0.004501510314187872</v>
      </c>
      <c r="BP12" s="319">
        <f>('3.2. Yfirlit'!BO43+'3.2. Yfirlit'!BO47-'3.2. Yfirlit'!BO45)/'3.2. Yfirlit'!BO12</f>
        <v>0.020472514865945163</v>
      </c>
      <c r="BQ12" s="319"/>
      <c r="BR12" s="319"/>
      <c r="BS12" s="319"/>
      <c r="BT12" s="319">
        <f>('3.2. Yfirlit'!BS43+'3.2. Yfirlit'!BS47-'3.2. Yfirlit'!BS45)/'3.2. Yfirlit'!BS12</f>
        <v>0.01933556592773558</v>
      </c>
      <c r="BU12" s="319">
        <f>('3.2. Yfirlit'!BT43+'3.2. Yfirlit'!BT47-'3.2. Yfirlit'!BT45)/'3.2. Yfirlit'!BT12</f>
        <v>0.013070857367588689</v>
      </c>
      <c r="BV12" s="319">
        <f>('3.2. Yfirlit'!BU43+'3.2. Yfirlit'!BU47-'3.2. Yfirlit'!BU45)/'3.2. Yfirlit'!BU12</f>
        <v>0.029047241263278175</v>
      </c>
      <c r="BW12" s="319">
        <f>('3.2. Yfirlit'!BV43+'3.2. Yfirlit'!BV47-'3.2. Yfirlit'!BV45)/'3.2. Yfirlit'!BV12</f>
        <v>0.018675223384258196</v>
      </c>
      <c r="BX12" s="319">
        <f>('3.2. Yfirlit'!BW43+'3.2. Yfirlit'!BW47-'3.2. Yfirlit'!BW45)/'3.2. Yfirlit'!BW12</f>
        <v>0.019837104751166963</v>
      </c>
      <c r="BY12" s="319">
        <f>('3.2. Yfirlit'!BX43+'3.2. Yfirlit'!BX47-'3.2. Yfirlit'!BX45)/'3.2. Yfirlit'!BX12</f>
        <v>0.014699370909599111</v>
      </c>
      <c r="BZ12" s="319"/>
      <c r="CA12" s="319">
        <f>('3.2. Yfirlit'!BZ43+'3.2. Yfirlit'!BZ47-'3.2. Yfirlit'!BZ45)/'3.2. Yfirlit'!BZ12</f>
        <v>0.01933556592773557</v>
      </c>
      <c r="CB12" s="225"/>
    </row>
    <row r="13" spans="1:79" ht="12.75">
      <c r="A13" s="127" t="s">
        <v>179</v>
      </c>
      <c r="B13" s="190">
        <v>3</v>
      </c>
      <c r="C13" s="319">
        <f>('3.2. Yfirlit'!B43+'3.2. Yfirlit'!B47-'3.2. Yfirlit'!B45)/(('3.2. Yfirlit'!B60+'3.2. Yfirlit'!B63)/2)</f>
        <v>0.00036972422894734344</v>
      </c>
      <c r="D13" s="319">
        <f>('3.2. Yfirlit'!C43+'3.2. Yfirlit'!C47-'3.2. Yfirlit'!C45)/(('3.2. Yfirlit'!C60+'3.2. Yfirlit'!C63)/2)</f>
        <v>0.001852547956943594</v>
      </c>
      <c r="E13" s="319">
        <f>('3.2. Yfirlit'!D43+'3.2. Yfirlit'!D47-'3.2. Yfirlit'!D45)/(('3.2. Yfirlit'!D60+'3.2. Yfirlit'!D63)/2)</f>
        <v>0.0011222421339247362</v>
      </c>
      <c r="F13" s="319">
        <f>('3.2. Yfirlit'!E43+'3.2. Yfirlit'!E47-'3.2. Yfirlit'!E45)/(('3.2. Yfirlit'!E60+'3.2. Yfirlit'!E63)/2)</f>
        <v>0.001113103579832004</v>
      </c>
      <c r="G13" s="319">
        <f>('3.2. Yfirlit'!F43+'3.2. Yfirlit'!F47-'3.2. Yfirlit'!F45)/(('3.2. Yfirlit'!F60+'3.2. Yfirlit'!F63)/2)</f>
        <v>0.0011621833931857925</v>
      </c>
      <c r="H13" s="319">
        <f>('3.2. Yfirlit'!G43+'3.2. Yfirlit'!G47-'3.2. Yfirlit'!G45)/(('3.2. Yfirlit'!G60+'3.2. Yfirlit'!G63)/2)</f>
        <v>0.0012220558562349864</v>
      </c>
      <c r="I13" s="319">
        <f>('3.2. Yfirlit'!H43+'3.2. Yfirlit'!H47-'3.2. Yfirlit'!H45)/(('3.2. Yfirlit'!H60+'3.2. Yfirlit'!H63)/2)</f>
        <v>0.000712834969547346</v>
      </c>
      <c r="J13" s="319">
        <f>('3.2. Yfirlit'!I43+'3.2. Yfirlit'!I47-'3.2. Yfirlit'!I45)/(('3.2. Yfirlit'!I60+'3.2. Yfirlit'!I63)/2)</f>
        <v>0.002188395200536</v>
      </c>
      <c r="K13" s="319">
        <f>('3.2. Yfirlit'!J43+'3.2. Yfirlit'!J47-'3.2. Yfirlit'!J45)/(('3.2. Yfirlit'!J60+'3.2. Yfirlit'!J63)/2)</f>
        <v>0.002921929375938065</v>
      </c>
      <c r="L13" s="319">
        <f>('3.2. Yfirlit'!K43+'3.2. Yfirlit'!K47-'3.2. Yfirlit'!K45)/(('3.2. Yfirlit'!K60+'3.2. Yfirlit'!K63)/2)</f>
        <v>0.0024564114033309185</v>
      </c>
      <c r="M13" s="319">
        <f>('3.2. Yfirlit'!L43+'3.2. Yfirlit'!L47-'3.2. Yfirlit'!L45)/(('3.2. Yfirlit'!L60+'3.2. Yfirlit'!L63)/2)</f>
        <v>0.002184855709682734</v>
      </c>
      <c r="N13" s="319">
        <f>('3.2. Yfirlit'!M43+'3.2. Yfirlit'!M47-'3.2. Yfirlit'!M45)/(('3.2. Yfirlit'!M60+'3.2. Yfirlit'!M63)/2)</f>
        <v>0.0031644100320243115</v>
      </c>
      <c r="O13" s="319">
        <f>('3.2. Yfirlit'!N43+'3.2. Yfirlit'!N47-'3.2. Yfirlit'!N45)/(('3.2. Yfirlit'!N60+'3.2. Yfirlit'!N63)/2)</f>
        <v>0.0011095007869586129</v>
      </c>
      <c r="P13" s="319">
        <f>('3.2. Yfirlit'!O43+'3.2. Yfirlit'!O47-'3.2. Yfirlit'!O45)/(('3.2. Yfirlit'!O60+'3.2. Yfirlit'!O63)/2)</f>
        <v>0.0010862777315926756</v>
      </c>
      <c r="Q13" s="319">
        <f>('3.2. Yfirlit'!P43+'3.2. Yfirlit'!P47-'3.2. Yfirlit'!P45)/(('3.2. Yfirlit'!P60+'3.2. Yfirlit'!P63)/2)</f>
        <v>0.002149819658869535</v>
      </c>
      <c r="R13" s="319">
        <f>('3.2. Yfirlit'!Q43+'3.2. Yfirlit'!Q47-'3.2. Yfirlit'!Q45)/(('3.2. Yfirlit'!Q60+'3.2. Yfirlit'!Q63)/2)</f>
        <v>0.002362028042134217</v>
      </c>
      <c r="S13" s="319">
        <f>('3.2. Yfirlit'!R43+'3.2. Yfirlit'!R47-'3.2. Yfirlit'!R45)/(('3.2. Yfirlit'!R60+'3.2. Yfirlit'!R63)/2)</f>
        <v>0.0014468746442593292</v>
      </c>
      <c r="T13" s="319">
        <f>('3.2. Yfirlit'!S43+'3.2. Yfirlit'!S47-'3.2. Yfirlit'!S45)/(('3.2. Yfirlit'!S60+'3.2. Yfirlit'!S63)/2)</f>
        <v>0.0017868545710093867</v>
      </c>
      <c r="U13" s="319">
        <f>('3.2. Yfirlit'!T43+'3.2. Yfirlit'!T47-'3.2. Yfirlit'!T45)/(('3.2. Yfirlit'!T60+'3.2. Yfirlit'!T63)/2)</f>
        <v>-0.00023217378578343115</v>
      </c>
      <c r="V13" s="319">
        <f>('3.2. Yfirlit'!U43+'3.2. Yfirlit'!U47-'3.2. Yfirlit'!U45)/(('3.2. Yfirlit'!U60+'3.2. Yfirlit'!U63)/2)</f>
        <v>-0.000853987692013489</v>
      </c>
      <c r="W13" s="319">
        <f>('3.2. Yfirlit'!V43+'3.2. Yfirlit'!V47-'3.2. Yfirlit'!V45)/(('3.2. Yfirlit'!V60+'3.2. Yfirlit'!V63)/2)</f>
        <v>0.0013537076579822984</v>
      </c>
      <c r="X13" s="319">
        <f>('3.2. Yfirlit'!W43+'3.2. Yfirlit'!W47-'3.2. Yfirlit'!W45)/(('3.2. Yfirlit'!W60+'3.2. Yfirlit'!W63)/2)</f>
        <v>0.0008982681540924392</v>
      </c>
      <c r="Y13" s="319">
        <f>('3.2. Yfirlit'!X43+'3.2. Yfirlit'!X47-'3.2. Yfirlit'!X45)/(('3.2. Yfirlit'!X60+'3.2. Yfirlit'!X63)/2)</f>
        <v>0.0038354297044331204</v>
      </c>
      <c r="Z13" s="319">
        <f>('3.2. Yfirlit'!Y43+'3.2. Yfirlit'!Y47-'3.2. Yfirlit'!Y45)/(('3.2. Yfirlit'!Y60+'3.2. Yfirlit'!Y63)/2)</f>
        <v>0.004219355052728343</v>
      </c>
      <c r="AA13" s="319">
        <f>('3.2. Yfirlit'!Z43+'3.2. Yfirlit'!Z47-'3.2. Yfirlit'!Z45)/(('3.2. Yfirlit'!Z60+'3.2. Yfirlit'!Z63)/2)</f>
        <v>0.0013903114022437457</v>
      </c>
      <c r="AB13" s="319">
        <f>('3.2. Yfirlit'!AA43+'3.2. Yfirlit'!AA47-'3.2. Yfirlit'!AA45)/(('3.2. Yfirlit'!AA60+'3.2. Yfirlit'!AA63)/2)</f>
        <v>0.004752339519649329</v>
      </c>
      <c r="AC13" s="319">
        <f>('3.2. Yfirlit'!AB43+'3.2. Yfirlit'!AB47-'3.2. Yfirlit'!AB45)/(('3.2. Yfirlit'!AB60+'3.2. Yfirlit'!AB63)/2)</f>
        <v>0.003662629354561295</v>
      </c>
      <c r="AD13" s="319">
        <f>('3.2. Yfirlit'!AC43+'3.2. Yfirlit'!AC47-'3.2. Yfirlit'!AC45)/(('3.2. Yfirlit'!AC60+'3.2. Yfirlit'!AC63)/2)</f>
        <v>0.0006338841130756098</v>
      </c>
      <c r="AE13" s="319">
        <f>('3.2. Yfirlit'!AD43+'3.2. Yfirlit'!AD47-'3.2. Yfirlit'!AD45)/(('3.2. Yfirlit'!AD60+'3.2. Yfirlit'!AD63)/2)</f>
        <v>0.0010832158955251775</v>
      </c>
      <c r="AF13" s="319">
        <f>('3.2. Yfirlit'!AE43+'3.2. Yfirlit'!AE47-'3.2. Yfirlit'!AE45)/(('3.2. Yfirlit'!AE60+'3.2. Yfirlit'!AE63)/2)</f>
        <v>0.0006853051260274642</v>
      </c>
      <c r="AG13" s="319">
        <f>('3.2. Yfirlit'!AF43+'3.2. Yfirlit'!AF47-'3.2. Yfirlit'!AF45)/(('3.2. Yfirlit'!AF60+'3.2. Yfirlit'!AF63)/2)</f>
        <v>0.0006465146239581257</v>
      </c>
      <c r="AH13" s="319">
        <f>('3.2. Yfirlit'!AG43+'3.2. Yfirlit'!AG47-'3.2. Yfirlit'!AG45)/(('3.2. Yfirlit'!AG60+'3.2. Yfirlit'!AG63)/2)</f>
        <v>0.007613713453256678</v>
      </c>
      <c r="AI13" s="319">
        <f>('3.2. Yfirlit'!AH43+'3.2. Yfirlit'!AH47-'3.2. Yfirlit'!AH45)/(('3.2. Yfirlit'!AH60+'3.2. Yfirlit'!AH63)/2)</f>
        <v>0.001457092318509977</v>
      </c>
      <c r="AJ13" s="319">
        <f>('3.2. Yfirlit'!AI43+'3.2. Yfirlit'!AI47-'3.2. Yfirlit'!AI45)/(('3.2. Yfirlit'!AI60+'3.2. Yfirlit'!AI63)/2)</f>
        <v>0.002353237138383694</v>
      </c>
      <c r="AK13" s="319">
        <f>('3.2. Yfirlit'!AJ43+'3.2. Yfirlit'!AJ47-'3.2. Yfirlit'!AJ45)/(('3.2. Yfirlit'!AJ60+'3.2. Yfirlit'!AJ63)/2)</f>
        <v>0.004873345922287581</v>
      </c>
      <c r="AL13" s="319">
        <f>('3.2. Yfirlit'!AK43+'3.2. Yfirlit'!AK47-'3.2. Yfirlit'!AK45)/(('3.2. Yfirlit'!AK60+'3.2. Yfirlit'!AK63)/2)</f>
        <v>0.0011773276884446205</v>
      </c>
      <c r="AM13" s="319">
        <f>('3.2. Yfirlit'!AL43+'3.2. Yfirlit'!AL47-'3.2. Yfirlit'!AL45)/(('3.2. Yfirlit'!AL60+'3.2. Yfirlit'!AL63)/2)</f>
        <v>0.0010184465610355799</v>
      </c>
      <c r="AN13" s="319">
        <f>('3.2. Yfirlit'!AM43+'3.2. Yfirlit'!AM47-'3.2. Yfirlit'!AM45)/(('3.2. Yfirlit'!AM60+'3.2. Yfirlit'!AM63)/2)</f>
        <v>0.002960155550822757</v>
      </c>
      <c r="AO13" s="319">
        <f>('3.2. Yfirlit'!AN43+'3.2. Yfirlit'!AN47-'3.2. Yfirlit'!AN45)/(('3.2. Yfirlit'!AN60+'3.2. Yfirlit'!AN63)/2)</f>
        <v>0.0013323714241341516</v>
      </c>
      <c r="AP13" s="319">
        <f>('3.2. Yfirlit'!AO43+'3.2. Yfirlit'!AO47-'3.2. Yfirlit'!AO45)/(('3.2. Yfirlit'!AO60+'3.2. Yfirlit'!AO63)/2)</f>
        <v>0.004433269134354694</v>
      </c>
      <c r="AQ13" s="319">
        <f>('3.2. Yfirlit'!AP43+'3.2. Yfirlit'!AP47-'3.2. Yfirlit'!AP45)/(('3.2. Yfirlit'!AP60+'3.2. Yfirlit'!AP63)/2)</f>
        <v>0.0034789299712006806</v>
      </c>
      <c r="AR13" s="319">
        <f>('3.2. Yfirlit'!AQ43+'3.2. Yfirlit'!AQ47-'3.2. Yfirlit'!AQ45)/(('3.2. Yfirlit'!AQ60+'3.2. Yfirlit'!AQ63)/2)</f>
        <v>0.0037792839313349922</v>
      </c>
      <c r="AS13" s="319">
        <f>('3.2. Yfirlit'!AR43+'3.2. Yfirlit'!AR47-'3.2. Yfirlit'!AR45)/(('3.2. Yfirlit'!AR60+'3.2. Yfirlit'!AR63)/2)</f>
        <v>0.004950299670881318</v>
      </c>
      <c r="AT13" s="319">
        <f>('3.2. Yfirlit'!AS43+'3.2. Yfirlit'!AS47-'3.2. Yfirlit'!AS45)/(('3.2. Yfirlit'!AS60+'3.2. Yfirlit'!AS63)/2)</f>
        <v>0.0012576537759035756</v>
      </c>
      <c r="AU13" s="319">
        <f>('3.2. Yfirlit'!AT43+'3.2. Yfirlit'!AT47-'3.2. Yfirlit'!AT45)/(('3.2. Yfirlit'!AT60+'3.2. Yfirlit'!AT63)/2)</f>
        <v>0.002936816388338278</v>
      </c>
      <c r="AV13" s="319">
        <f>('3.2. Yfirlit'!AU43+'3.2. Yfirlit'!AU47-'3.2. Yfirlit'!AU45)/(('3.2. Yfirlit'!AU60+'3.2. Yfirlit'!AU63)/2)</f>
        <v>0.028971699642050954</v>
      </c>
      <c r="AW13" s="319">
        <f>('3.2. Yfirlit'!AV43+'3.2. Yfirlit'!AV47-'3.2. Yfirlit'!AV45)/(('3.2. Yfirlit'!AV60+'3.2. Yfirlit'!AV63)/2)</f>
        <v>0.004399663263546809</v>
      </c>
      <c r="AX13" s="319">
        <f>('3.2. Yfirlit'!AW43+'3.2. Yfirlit'!AW47-'3.2. Yfirlit'!AW45)/(('3.2. Yfirlit'!AW60+'3.2. Yfirlit'!AW63)/2)</f>
        <v>0.0011590000185720314</v>
      </c>
      <c r="AY13" s="319">
        <f>('3.2. Yfirlit'!AX43+'3.2. Yfirlit'!AX47-'3.2. Yfirlit'!AX45)/(('3.2. Yfirlit'!AX60+'3.2. Yfirlit'!AX63)/2)</f>
        <v>0.001685408908916458</v>
      </c>
      <c r="AZ13" s="319">
        <f>('3.2. Yfirlit'!AY43+'3.2. Yfirlit'!AY47-'3.2. Yfirlit'!AY45)/(('3.2. Yfirlit'!AY60+'3.2. Yfirlit'!AY63)/2)</f>
        <v>0.008487508793357367</v>
      </c>
      <c r="BA13" s="319">
        <f>('3.2. Yfirlit'!AZ43+'3.2. Yfirlit'!AZ47-'3.2. Yfirlit'!AZ45)/(('3.2. Yfirlit'!AZ60+'3.2. Yfirlit'!AZ63)/2)</f>
        <v>0.001039831894365766</v>
      </c>
      <c r="BB13" s="319">
        <f>('3.2. Yfirlit'!BA43+'3.2. Yfirlit'!BA47-'3.2. Yfirlit'!BA45)/(('3.2. Yfirlit'!BA60+'3.2. Yfirlit'!BA63)/2)</f>
        <v>0.0008451862799964326</v>
      </c>
      <c r="BC13" s="319">
        <f>('3.2. Yfirlit'!BB43+'3.2. Yfirlit'!BB47-'3.2. Yfirlit'!BB45)/(('3.2. Yfirlit'!BB60+'3.2. Yfirlit'!BB63)/2)</f>
        <v>0.004537855064424776</v>
      </c>
      <c r="BD13" s="319">
        <f>('3.2. Yfirlit'!BC43+'3.2. Yfirlit'!BC47-'3.2. Yfirlit'!BC45)/(('3.2. Yfirlit'!BC60+'3.2. Yfirlit'!BC63)/2)</f>
        <v>0.003815398440249872</v>
      </c>
      <c r="BE13" s="319">
        <f>('3.2. Yfirlit'!BD43+'3.2. Yfirlit'!BD47-'3.2. Yfirlit'!BD45)/(('3.2. Yfirlit'!BD60+'3.2. Yfirlit'!BD63)/2)</f>
        <v>0.006618222367108377</v>
      </c>
      <c r="BF13" s="319">
        <f>('3.2. Yfirlit'!BE43+'3.2. Yfirlit'!BE47-'3.2. Yfirlit'!BE45)/(('3.2. Yfirlit'!BE60+'3.2. Yfirlit'!BE63)/2)</f>
        <v>0.008134483589264127</v>
      </c>
      <c r="BG13" s="319">
        <f>('3.2. Yfirlit'!BF43+'3.2. Yfirlit'!BF47-'3.2. Yfirlit'!BF45)/(('3.2. Yfirlit'!BF60+'3.2. Yfirlit'!BF63)/2)</f>
        <v>0.015376163951265573</v>
      </c>
      <c r="BH13" s="319">
        <f>('3.2. Yfirlit'!BG43+'3.2. Yfirlit'!BG47-'3.2. Yfirlit'!BG45)/(('3.2. Yfirlit'!BG60+'3.2. Yfirlit'!BG63)/2)</f>
        <v>0.008565509849340998</v>
      </c>
      <c r="BI13" s="319">
        <f>('3.2. Yfirlit'!BH43+'3.2. Yfirlit'!BH47-'3.2. Yfirlit'!BH45)/(('3.2. Yfirlit'!BH60+'3.2. Yfirlit'!BH63)/2)</f>
        <v>0.0019038372883874298</v>
      </c>
      <c r="BJ13" s="319">
        <f>('3.2. Yfirlit'!BI43+'3.2. Yfirlit'!BI47-'3.2. Yfirlit'!BI45)/(('3.2. Yfirlit'!BI60+'3.2. Yfirlit'!BI63)/2)</f>
        <v>0.001642193300978744</v>
      </c>
      <c r="BK13" s="319">
        <f>('3.2. Yfirlit'!BJ43+'3.2. Yfirlit'!BJ47-'3.2. Yfirlit'!BJ45)/(('3.2. Yfirlit'!BJ60+'3.2. Yfirlit'!BJ63)/2)</f>
        <v>0.014096010223083372</v>
      </c>
      <c r="BL13" s="319">
        <f>('3.2. Yfirlit'!BK43+'3.2. Yfirlit'!BK47-'3.2. Yfirlit'!BK45)/(('3.2. Yfirlit'!BK60+'3.2. Yfirlit'!BK63)/2)</f>
        <v>0.005038251944517975</v>
      </c>
      <c r="BM13" s="319">
        <f>('3.2. Yfirlit'!BL43+'3.2. Yfirlit'!BL47-'3.2. Yfirlit'!BL45)/(('3.2. Yfirlit'!BL60+'3.2. Yfirlit'!BL63)/2)</f>
        <v>0</v>
      </c>
      <c r="BN13" s="319">
        <f>('3.2. Yfirlit'!BM43+'3.2. Yfirlit'!BM47-'3.2. Yfirlit'!BM45)/(('3.2. Yfirlit'!BM60+'3.2. Yfirlit'!BM63)/2)</f>
        <v>0.0031496552020668237</v>
      </c>
      <c r="BO13" s="319"/>
      <c r="BP13" s="319"/>
      <c r="BQ13" s="319"/>
      <c r="BR13" s="319"/>
      <c r="BS13" s="319"/>
      <c r="BT13" s="319">
        <f>('3.2. Yfirlit'!BS43+'3.2. Yfirlit'!BS47-'3.2. Yfirlit'!BS45)/(('3.2. Yfirlit'!BS60+'3.2. Yfirlit'!BS63)/2)</f>
        <v>0.0015392089824114307</v>
      </c>
      <c r="BU13" s="319">
        <f>('3.2. Yfirlit'!BT43+'3.2. Yfirlit'!BT47-'3.2. Yfirlit'!BT45)/(('3.2. Yfirlit'!BT60+'3.2. Yfirlit'!BT63)/2)</f>
        <v>0.001869519567776631</v>
      </c>
      <c r="BV13" s="319">
        <f>('3.2. Yfirlit'!BU43+'3.2. Yfirlit'!BU47-'3.2. Yfirlit'!BU45)/(('3.2. Yfirlit'!BU60+'3.2. Yfirlit'!BU63)/2)</f>
        <v>0.0017000464824817115</v>
      </c>
      <c r="BW13" s="319">
        <f>('3.2. Yfirlit'!BV43+'3.2. Yfirlit'!BV47-'3.2. Yfirlit'!BV45)/(('3.2. Yfirlit'!BV60+'3.2. Yfirlit'!BV63)/2)</f>
        <v>0.0011415587132652058</v>
      </c>
      <c r="BX13" s="319">
        <f>('3.2. Yfirlit'!BW43+'3.2. Yfirlit'!BW47-'3.2. Yfirlit'!BW45)/(('3.2. Yfirlit'!BW60+'3.2. Yfirlit'!BW63)/2)</f>
        <v>0.0014859727567501212</v>
      </c>
      <c r="BY13" s="319">
        <f>('3.2. Yfirlit'!BX43+'3.2. Yfirlit'!BX47-'3.2. Yfirlit'!BX45)/(('3.2. Yfirlit'!BX60+'3.2. Yfirlit'!BX63)/2)</f>
        <v>0.0027829941871764167</v>
      </c>
      <c r="BZ13" s="319"/>
      <c r="CA13" s="319">
        <f>('3.2. Yfirlit'!BZ43+'3.2. Yfirlit'!BZ47-'3.2. Yfirlit'!BZ45)/(('3.2. Yfirlit'!BZ60+'3.2. Yfirlit'!BZ63)/2)</f>
        <v>0.0015392089824114313</v>
      </c>
    </row>
    <row r="14" spans="1:79" ht="12.75">
      <c r="A14" s="127" t="s">
        <v>624</v>
      </c>
      <c r="B14" s="190">
        <v>4</v>
      </c>
      <c r="C14" s="320">
        <f>(('3.2. Yfirlit'!B43+'3.2. Yfirlit'!B47-'3.2. Yfirlit'!B45)/C21)*1000</f>
        <v>900.0653201970443</v>
      </c>
      <c r="D14" s="320">
        <f>(('3.2. Yfirlit'!C43+'3.2. Yfirlit'!C47-'3.2. Yfirlit'!C45)/D21)*1000</f>
        <v>3382.323503027585</v>
      </c>
      <c r="E14" s="320">
        <f>(('3.2. Yfirlit'!D43+'3.2. Yfirlit'!D47-'3.2. Yfirlit'!D45)/E21)*1000</f>
        <v>2197.8200088200088</v>
      </c>
      <c r="F14" s="320">
        <f>(('3.2. Yfirlit'!E43+'3.2. Yfirlit'!E47-'3.2. Yfirlit'!E45)/F21)*1000</f>
        <v>4471.750298151461</v>
      </c>
      <c r="G14" s="320">
        <f>(('3.2. Yfirlit'!F43+'3.2. Yfirlit'!F47-'3.2. Yfirlit'!F45)/G21)*1000</f>
        <v>4303.379797403339</v>
      </c>
      <c r="H14" s="320">
        <f>(('3.2. Yfirlit'!G43+'3.2. Yfirlit'!G47-'3.2. Yfirlit'!G45)/H21)*1000</f>
        <v>2523.784617951285</v>
      </c>
      <c r="I14" s="320">
        <f>(('3.2. Yfirlit'!H43+'3.2. Yfirlit'!H47-'3.2. Yfirlit'!H45)/I21)*1000</f>
        <v>1333.1479813664596</v>
      </c>
      <c r="J14" s="320">
        <f>(('3.2. Yfirlit'!I43+'3.2. Yfirlit'!I47-'3.2. Yfirlit'!I45)/J21)*1000</f>
        <v>5561.810036719706</v>
      </c>
      <c r="K14" s="320">
        <f>(('3.2. Yfirlit'!J43+'3.2. Yfirlit'!J47-'3.2. Yfirlit'!J45)/K21)*1000</f>
        <v>4625.614878209348</v>
      </c>
      <c r="L14" s="320">
        <f>(('3.2. Yfirlit'!K43+'3.2. Yfirlit'!K47-'3.2. Yfirlit'!K45)/L21)*1000</f>
        <v>7583.314227916386</v>
      </c>
      <c r="M14" s="320">
        <f>(('3.2. Yfirlit'!L43+'3.2. Yfirlit'!L47-'3.2. Yfirlit'!L45)/M21)*1000</f>
        <v>3170.3963948787064</v>
      </c>
      <c r="N14" s="320">
        <f>(('3.2. Yfirlit'!M43+'3.2. Yfirlit'!M47-'3.2. Yfirlit'!M45)/N21)*1000</f>
        <v>10279.531855955678</v>
      </c>
      <c r="O14" s="320">
        <f>(('3.2. Yfirlit'!N43+'3.2. Yfirlit'!N47-'3.2. Yfirlit'!N45)/O21)*1000</f>
        <v>7544.786602870813</v>
      </c>
      <c r="P14" s="320">
        <f>(('3.2. Yfirlit'!O43+'3.2. Yfirlit'!O47-'3.2. Yfirlit'!O45)/P21)*1000</f>
        <v>2413.5770609318997</v>
      </c>
      <c r="Q14" s="320">
        <f>(('3.2. Yfirlit'!P43+'3.2. Yfirlit'!P47-'3.2. Yfirlit'!P45)/Q21)*1000</f>
        <v>10275.435825105784</v>
      </c>
      <c r="R14" s="320">
        <f>(('3.2. Yfirlit'!Q43+'3.2. Yfirlit'!Q47-'3.2. Yfirlit'!Q45)/R21)*1000</f>
        <v>8826.525655644242</v>
      </c>
      <c r="S14" s="320">
        <f>(('3.2. Yfirlit'!R43+'3.2. Yfirlit'!R47-'3.2. Yfirlit'!R45)/S21)*1000</f>
        <v>6137.087969924812</v>
      </c>
      <c r="T14" s="320">
        <f>(('3.2. Yfirlit'!S43+'3.2. Yfirlit'!S47-'3.2. Yfirlit'!S45)/T21)*1000</f>
        <v>3291.288923925897</v>
      </c>
      <c r="U14" s="320">
        <f>(('3.2. Yfirlit'!T43+'3.2. Yfirlit'!T47-'3.2. Yfirlit'!T45)/U21)*1000</f>
        <v>-4125.6171875</v>
      </c>
      <c r="V14" s="320">
        <f>(('3.2. Yfirlit'!U43+'3.2. Yfirlit'!U47-'3.2. Yfirlit'!U45)/V21)*1000</f>
        <v>-4756.673876871881</v>
      </c>
      <c r="W14" s="320">
        <f>(('3.2. Yfirlit'!V43+'3.2. Yfirlit'!V47-'3.2. Yfirlit'!V45)/W21)*1000</f>
        <v>2803.0482478415443</v>
      </c>
      <c r="X14" s="320">
        <f>(('3.2. Yfirlit'!W43+'3.2. Yfirlit'!W47-'3.2. Yfirlit'!W45)/X21)*1000</f>
        <v>1518.6800000000003</v>
      </c>
      <c r="Y14" s="320">
        <f>(('3.2. Yfirlit'!X43+'3.2. Yfirlit'!X47-'3.2. Yfirlit'!X45)/Y21)*1000</f>
        <v>6345.551934826884</v>
      </c>
      <c r="Z14" s="320">
        <f>(('3.2. Yfirlit'!Y43+'3.2. Yfirlit'!Y47-'3.2. Yfirlit'!Y45)/Z21)*1000</f>
        <v>6766.001126126126</v>
      </c>
      <c r="AA14" s="320">
        <f>(('3.2. Yfirlit'!Z43+'3.2. Yfirlit'!Z47-'3.2. Yfirlit'!Z45)/AA21)*1000</f>
        <v>5120.368489583334</v>
      </c>
      <c r="AB14" s="320">
        <f>(('3.2. Yfirlit'!AA43+'3.2. Yfirlit'!AA47-'3.2. Yfirlit'!AA45)/AB21)*1000</f>
        <v>2992.076798269335</v>
      </c>
      <c r="AC14" s="320">
        <f>(('3.2. Yfirlit'!AB43+'3.2. Yfirlit'!AB47-'3.2. Yfirlit'!AB45)/AC21)*1000</f>
        <v>4511.481152993348</v>
      </c>
      <c r="AD14" s="320">
        <f>(('3.2. Yfirlit'!AC43+'3.2. Yfirlit'!AC47-'3.2. Yfirlit'!AC45)/AD21)*1000</f>
        <v>1970.9436619718308</v>
      </c>
      <c r="AE14" s="320"/>
      <c r="AF14" s="320">
        <f>(('3.2. Yfirlit'!AE43+'3.2. Yfirlit'!AE47-'3.2. Yfirlit'!AE45)/AF21)*1000</f>
        <v>3035.4773269689745</v>
      </c>
      <c r="AG14" s="320"/>
      <c r="AH14" s="320">
        <f>(('3.2. Yfirlit'!AG43+'3.2. Yfirlit'!AG47-'3.2. Yfirlit'!AG45)/AH21)*1000</f>
        <v>10024.566704675028</v>
      </c>
      <c r="AI14" s="320">
        <f>(('3.2. Yfirlit'!AH43+'3.2. Yfirlit'!AH47-'3.2. Yfirlit'!AH45)/AI21)*1000</f>
        <v>10162.98104265403</v>
      </c>
      <c r="AJ14" s="320">
        <f>(('3.2. Yfirlit'!AI43+'3.2. Yfirlit'!AI47-'3.2. Yfirlit'!AI45)/AJ21)*1000</f>
        <v>4679.084254143647</v>
      </c>
      <c r="AK14" s="320">
        <f>(('3.2. Yfirlit'!AJ43+'3.2. Yfirlit'!AJ47-'3.2. Yfirlit'!AJ45)/AK21)*1000</f>
        <v>9498.952768729641</v>
      </c>
      <c r="AL14" s="320">
        <f>(('3.2. Yfirlit'!AK43+'3.2. Yfirlit'!AK47-'3.2. Yfirlit'!AK45)/AL21)*1000</f>
        <v>7763.619631901841</v>
      </c>
      <c r="AM14" s="320">
        <f>(('3.2. Yfirlit'!AL43+'3.2. Yfirlit'!AL47-'3.2. Yfirlit'!AL45)/AM21)*1000</f>
        <v>4481.171548117155</v>
      </c>
      <c r="AN14" s="320">
        <f>(('3.2. Yfirlit'!AM43+'3.2. Yfirlit'!AM47-'3.2. Yfirlit'!AM45)/AN21)*1000</f>
        <v>6882.81343283582</v>
      </c>
      <c r="AO14" s="320">
        <f>(('3.2. Yfirlit'!AN43+'3.2. Yfirlit'!AN47-'3.2. Yfirlit'!AN45)/AO21)*1000</f>
        <v>3026.8610421836233</v>
      </c>
      <c r="AP14" s="320">
        <f>(('3.2. Yfirlit'!AO43+'3.2. Yfirlit'!AO47-'3.2. Yfirlit'!AO45)/AP21)*1000</f>
        <v>3858.60941475827</v>
      </c>
      <c r="AQ14" s="320">
        <f>(('3.2. Yfirlit'!AP43+'3.2. Yfirlit'!AP47-'3.2. Yfirlit'!AP45)/AQ21)*1000</f>
        <v>5907.565217391304</v>
      </c>
      <c r="AR14" s="320">
        <f>(('3.2. Yfirlit'!AQ43+'3.2. Yfirlit'!AQ47-'3.2. Yfirlit'!AQ45)/AR21)*1000</f>
        <v>30174.989361702126</v>
      </c>
      <c r="AS14" s="320">
        <f>(('3.2. Yfirlit'!AR43+'3.2. Yfirlit'!AR47-'3.2. Yfirlit'!AR45)/AS21)*1000</f>
        <v>7963.213362068965</v>
      </c>
      <c r="AT14" s="320">
        <f>(('3.2. Yfirlit'!AS43+'3.2. Yfirlit'!AS47-'3.2. Yfirlit'!AS45)/AT21)*1000</f>
        <v>4490.539999999999</v>
      </c>
      <c r="AU14" s="320">
        <f>(('3.2. Yfirlit'!AT43+'3.2. Yfirlit'!AT47-'3.2. Yfirlit'!AT45)/AU21)*1000</f>
        <v>3982.8678160919535</v>
      </c>
      <c r="AV14" s="320">
        <f>(('3.2. Yfirlit'!AU43+'3.2. Yfirlit'!AU47-'3.2. Yfirlit'!AU45)/AV21)*1000</f>
        <v>3200.1434720229554</v>
      </c>
      <c r="AW14" s="320"/>
      <c r="AX14" s="320">
        <f>(('3.2. Yfirlit'!AW43+'3.2. Yfirlit'!AW47-'3.2. Yfirlit'!AW45)/AX21)*1000</f>
        <v>2987.9118942731275</v>
      </c>
      <c r="AY14" s="320"/>
      <c r="AZ14" s="320"/>
      <c r="BA14" s="320"/>
      <c r="BB14" s="320"/>
      <c r="BC14" s="320">
        <f>(('3.2. Yfirlit'!BB43+'3.2. Yfirlit'!BB47-'3.2. Yfirlit'!BB45)/BC21)*1000</f>
        <v>7481.534653465346</v>
      </c>
      <c r="BD14" s="320">
        <f>(('3.2. Yfirlit'!BC43+'3.2. Yfirlit'!BC47-'3.2. Yfirlit'!BC45)/BD21)*1000</f>
        <v>17912.870967741936</v>
      </c>
      <c r="BE14" s="320">
        <f>(('3.2. Yfirlit'!BD43+'3.2. Yfirlit'!BD47-'3.2. Yfirlit'!BD45)/BE21)*1000</f>
        <v>20381.76551724138</v>
      </c>
      <c r="BF14" s="320"/>
      <c r="BG14" s="320"/>
      <c r="BH14" s="320">
        <f>(('3.2. Yfirlit'!BG43+'3.2. Yfirlit'!BG47-'3.2. Yfirlit'!BG45)/BH21)*1000</f>
        <v>7139.89010989011</v>
      </c>
      <c r="BI14" s="320">
        <f>(('3.2. Yfirlit'!BH43+'3.2. Yfirlit'!BH47-'3.2. Yfirlit'!BH45)/BI21)*1000</f>
        <v>6960.150000000001</v>
      </c>
      <c r="BJ14" s="320">
        <f>(('3.2. Yfirlit'!BI43+'3.2. Yfirlit'!BI47-'3.2. Yfirlit'!BI45)/BJ21)*1000</f>
        <v>11092.470588235294</v>
      </c>
      <c r="BK14" s="320">
        <f>(('3.2. Yfirlit'!BJ43+'3.2. Yfirlit'!BJ47-'3.2. Yfirlit'!BJ45)/BK21)*1000</f>
        <v>26807.57894736842</v>
      </c>
      <c r="BL14" s="320">
        <f>(('3.2. Yfirlit'!BK43+'3.2. Yfirlit'!BK47-'3.2. Yfirlit'!BK45)/BL21)*1000</f>
        <v>3956.682730923695</v>
      </c>
      <c r="BM14" s="320"/>
      <c r="BN14" s="320"/>
      <c r="BO14" s="320">
        <f>(('3.2. Yfirlit'!BN43+'3.2. Yfirlit'!BN47-'3.2. Yfirlit'!BN45)/BO21)*1000</f>
        <v>8805.573529411766</v>
      </c>
      <c r="BP14" s="320">
        <f>(('3.2. Yfirlit'!BO43+'3.2. Yfirlit'!BO47-'3.2. Yfirlit'!BO45)/BP21)*1000</f>
        <v>49589.5</v>
      </c>
      <c r="BQ14" s="320"/>
      <c r="BR14" s="320"/>
      <c r="BS14" s="320"/>
      <c r="BT14" s="320">
        <f>(('3.2. Yfirlit'!BS43+'3.2. Yfirlit'!BS47-'3.2. Yfirlit'!BS45)/BT21)*1000</f>
        <v>3650.7038163438456</v>
      </c>
      <c r="BU14" s="320">
        <f>(('3.2. Yfirlit'!BT43+'3.2. Yfirlit'!BT47-'3.2. Yfirlit'!BT45)/BU21)*1000</f>
        <v>3511.4440275171987</v>
      </c>
      <c r="BV14" s="320">
        <f>(('3.2. Yfirlit'!BU43+'3.2. Yfirlit'!BU47-'3.2. Yfirlit'!BU45)/BV21)*1000</f>
        <v>3940.6300720115223</v>
      </c>
      <c r="BW14" s="320">
        <f>(('3.2. Yfirlit'!BV43+'3.2. Yfirlit'!BV47-'3.2. Yfirlit'!BV45)/BW21)*1000</f>
        <v>3185.209044780927</v>
      </c>
      <c r="BX14" s="320">
        <f>(('3.2. Yfirlit'!BW43+'3.2. Yfirlit'!BW47-'3.2. Yfirlit'!BW45)/BX21)*1000</f>
        <v>3557.9754314259767</v>
      </c>
      <c r="BY14" s="320">
        <f>(('3.2. Yfirlit'!BX43+'3.2. Yfirlit'!BX47-'3.2. Yfirlit'!BX45)/BY21)*1000</f>
        <v>5409.4282227964395</v>
      </c>
      <c r="BZ14" s="320"/>
      <c r="CA14" s="320">
        <f>(('3.2. Yfirlit'!BZ43+'3.2. Yfirlit'!BZ47-'3.2. Yfirlit'!BZ45)/CA21)*1000</f>
        <v>3650.7038163438465</v>
      </c>
    </row>
    <row r="15" spans="1:79" ht="17.25" customHeight="1">
      <c r="A15" s="127" t="s">
        <v>677</v>
      </c>
      <c r="B15" s="190">
        <v>5</v>
      </c>
      <c r="C15" s="319">
        <f>('3.2. Yfirlit'!B43)/'3.2. Yfirlit'!B12</f>
        <v>0.021430434307317975</v>
      </c>
      <c r="D15" s="319">
        <f>('3.2. Yfirlit'!C43)/'3.2. Yfirlit'!C12</f>
        <v>0.013949242583555815</v>
      </c>
      <c r="E15" s="319">
        <f>('3.2. Yfirlit'!D43)/'3.2. Yfirlit'!D12</f>
        <v>0.039158500628186946</v>
      </c>
      <c r="F15" s="319">
        <f>('3.2. Yfirlit'!E43)/'3.2. Yfirlit'!E12</f>
        <v>0.023540769216152613</v>
      </c>
      <c r="G15" s="319">
        <f>('3.2. Yfirlit'!F43)/'3.2. Yfirlit'!F12</f>
        <v>0.026111886021123947</v>
      </c>
      <c r="H15" s="319">
        <f>('3.2. Yfirlit'!G43)/'3.2. Yfirlit'!G12</f>
        <v>0.03397165875092055</v>
      </c>
      <c r="I15" s="319">
        <f>('3.2. Yfirlit'!H43)/'3.2. Yfirlit'!H12</f>
        <v>0.0321117337940182</v>
      </c>
      <c r="J15" s="319">
        <f>('3.2. Yfirlit'!I43)/'3.2. Yfirlit'!I12</f>
        <v>0.04712586687660914</v>
      </c>
      <c r="K15" s="319">
        <f>('3.2. Yfirlit'!J43)/'3.2. Yfirlit'!J12</f>
        <v>0.04773648365339436</v>
      </c>
      <c r="L15" s="319">
        <f>('3.2. Yfirlit'!K43)/'3.2. Yfirlit'!K12</f>
        <v>0.04649221753613056</v>
      </c>
      <c r="M15" s="319">
        <f>('3.2. Yfirlit'!L43)/'3.2. Yfirlit'!L12</f>
        <v>0.04644299511155985</v>
      </c>
      <c r="N15" s="319">
        <f>('3.2. Yfirlit'!M43)/'3.2. Yfirlit'!M12</f>
        <v>0.052325527980632114</v>
      </c>
      <c r="O15" s="319">
        <f>('3.2. Yfirlit'!N43)/'3.2. Yfirlit'!N12</f>
        <v>0.0207280084277934</v>
      </c>
      <c r="P15" s="319">
        <f>('3.2. Yfirlit'!O43)/'3.2. Yfirlit'!O12</f>
        <v>0.04117207006434769</v>
      </c>
      <c r="Q15" s="319">
        <f>('3.2. Yfirlit'!P43)/'3.2. Yfirlit'!P12</f>
        <v>0.02634156735037161</v>
      </c>
      <c r="R15" s="319">
        <f>('3.2. Yfirlit'!Q43)/'3.2. Yfirlit'!Q12</f>
        <v>0.04688384705513002</v>
      </c>
      <c r="S15" s="319">
        <f>('3.2. Yfirlit'!R43)/'3.2. Yfirlit'!R12</f>
        <v>0.030919597967940648</v>
      </c>
      <c r="T15" s="319">
        <f>('3.2. Yfirlit'!S43)/'3.2. Yfirlit'!S12</f>
        <v>0.030003326981822582</v>
      </c>
      <c r="U15" s="319">
        <f>('3.2. Yfirlit'!T43)/'3.2. Yfirlit'!T12</f>
        <v>0.01586736976527318</v>
      </c>
      <c r="V15" s="319">
        <f>('3.2. Yfirlit'!U43)/'3.2. Yfirlit'!U12</f>
        <v>0.00014023618328614322</v>
      </c>
      <c r="W15" s="319">
        <f>('3.2. Yfirlit'!V43)/'3.2. Yfirlit'!V12</f>
        <v>0.017075462058503812</v>
      </c>
      <c r="X15" s="319">
        <f>('3.2. Yfirlit'!W43)/'3.2. Yfirlit'!W12</f>
        <v>0.01302378158865565</v>
      </c>
      <c r="Y15" s="319">
        <f>('3.2. Yfirlit'!X43)/'3.2. Yfirlit'!X12</f>
        <v>0.06500367475577823</v>
      </c>
      <c r="Z15" s="319">
        <f>('3.2. Yfirlit'!Y43)/'3.2. Yfirlit'!Y12</f>
        <v>0.019385198739570345</v>
      </c>
      <c r="AA15" s="319">
        <f>('3.2. Yfirlit'!Z43)/'3.2. Yfirlit'!Z12</f>
        <v>0.01769026760263372</v>
      </c>
      <c r="AB15" s="319">
        <f>('3.2. Yfirlit'!AA43)/'3.2. Yfirlit'!AA12</f>
        <v>0.006945562444602281</v>
      </c>
      <c r="AC15" s="319">
        <f>('3.2. Yfirlit'!AB43)/'3.2. Yfirlit'!AB12</f>
        <v>0.03404715864449906</v>
      </c>
      <c r="AD15" s="319">
        <f>('3.2. Yfirlit'!AC43)/'3.2. Yfirlit'!AC12</f>
        <v>0.012715258452800096</v>
      </c>
      <c r="AE15" s="319"/>
      <c r="AF15" s="319">
        <f>('3.2. Yfirlit'!AE43)/'3.2. Yfirlit'!AE12</f>
        <v>0.040012121197425005</v>
      </c>
      <c r="AG15" s="319"/>
      <c r="AH15" s="319">
        <f>('3.2. Yfirlit'!AG43)/'3.2. Yfirlit'!AG12</f>
        <v>0.012529058584553401</v>
      </c>
      <c r="AI15" s="319">
        <f>('3.2. Yfirlit'!AH43)/'3.2. Yfirlit'!AH12</f>
        <v>0.02856719413135915</v>
      </c>
      <c r="AJ15" s="319">
        <f>('3.2. Yfirlit'!AI43)/'3.2. Yfirlit'!AI12</f>
        <v>0.060696424194561914</v>
      </c>
      <c r="AK15" s="319">
        <f>('3.2. Yfirlit'!AJ43)/'3.2. Yfirlit'!AJ12</f>
        <v>0.08624160795951324</v>
      </c>
      <c r="AL15" s="319">
        <f>('3.2. Yfirlit'!AK43)/'3.2. Yfirlit'!AK12</f>
        <v>0.01930187100041033</v>
      </c>
      <c r="AM15" s="319">
        <f>('3.2. Yfirlit'!AL43)/'3.2. Yfirlit'!AL12</f>
        <v>0.031175004284561512</v>
      </c>
      <c r="AN15" s="319">
        <f>('3.2. Yfirlit'!AM43)/'3.2. Yfirlit'!AM12</f>
        <v>0.016624479203634537</v>
      </c>
      <c r="AO15" s="319">
        <f>('3.2. Yfirlit'!AN43)/'3.2. Yfirlit'!AN12</f>
        <v>0.036535216352581716</v>
      </c>
      <c r="AP15" s="319">
        <f>('3.2. Yfirlit'!AO43)/'3.2. Yfirlit'!AO12</f>
        <v>0.006872508352962101</v>
      </c>
      <c r="AQ15" s="319">
        <f>('3.2. Yfirlit'!AP43)/'3.2. Yfirlit'!AP12</f>
        <v>0.04878300978036982</v>
      </c>
      <c r="AR15" s="319">
        <f>('3.2. Yfirlit'!AQ43)/'3.2. Yfirlit'!AQ12</f>
        <v>0.09387494441123266</v>
      </c>
      <c r="AS15" s="319">
        <f>('3.2. Yfirlit'!AR43)/'3.2. Yfirlit'!AR12</f>
        <v>0.026009465832931917</v>
      </c>
      <c r="AT15" s="319">
        <f>('3.2. Yfirlit'!AS43)/'3.2. Yfirlit'!AS12</f>
        <v>0.021898616368437717</v>
      </c>
      <c r="AU15" s="319">
        <f>('3.2. Yfirlit'!AT43)/'3.2. Yfirlit'!AT12</f>
        <v>0.07083245288206705</v>
      </c>
      <c r="AV15" s="319">
        <f>('3.2. Yfirlit'!AU43)/'3.2. Yfirlit'!AU12</f>
        <v>0.014458985644885038</v>
      </c>
      <c r="AW15" s="319"/>
      <c r="AX15" s="319">
        <f>('3.2. Yfirlit'!AW43)/'3.2. Yfirlit'!AW12</f>
        <v>0.026243783958797177</v>
      </c>
      <c r="AY15" s="319"/>
      <c r="AZ15" s="319"/>
      <c r="BA15" s="319"/>
      <c r="BB15" s="319"/>
      <c r="BC15" s="319">
        <f>('3.2. Yfirlit'!BB43)/'3.2. Yfirlit'!BB12</f>
        <v>0.04740154222268057</v>
      </c>
      <c r="BD15" s="319">
        <f>('3.2. Yfirlit'!BC43)/'3.2. Yfirlit'!BC12</f>
        <v>0.08358865484252206</v>
      </c>
      <c r="BE15" s="319">
        <f>('3.2. Yfirlit'!BD43)/'3.2. Yfirlit'!BD12</f>
        <v>0.17839934158954165</v>
      </c>
      <c r="BF15" s="319"/>
      <c r="BG15" s="319"/>
      <c r="BH15" s="319">
        <f>('3.2. Yfirlit'!BG43)/'3.2. Yfirlit'!BG12</f>
        <v>0.004485789496224223</v>
      </c>
      <c r="BI15" s="319">
        <f>('3.2. Yfirlit'!BH43)/'3.2. Yfirlit'!BH12</f>
        <v>0.057923596178872695</v>
      </c>
      <c r="BJ15" s="319">
        <f>('3.2. Yfirlit'!BI43)/'3.2. Yfirlit'!BI12</f>
        <v>0.032196697419135195</v>
      </c>
      <c r="BK15" s="319">
        <f>('3.2. Yfirlit'!BJ43)/'3.2. Yfirlit'!BJ12</f>
        <v>-0.2279480879986503</v>
      </c>
      <c r="BL15" s="319">
        <f>('3.2. Yfirlit'!BK43)/'3.2. Yfirlit'!BK12</f>
        <v>0.021889608973421255</v>
      </c>
      <c r="BM15" s="319"/>
      <c r="BN15" s="319"/>
      <c r="BO15" s="319">
        <f>('3.2. Yfirlit'!BN43)/'3.2. Yfirlit'!BN12</f>
        <v>0.004501510314187872</v>
      </c>
      <c r="BP15" s="319">
        <f>('3.2. Yfirlit'!BO43)/'3.2. Yfirlit'!BO12</f>
        <v>0.020472514865945163</v>
      </c>
      <c r="BQ15" s="319"/>
      <c r="BR15" s="319"/>
      <c r="BS15" s="319"/>
      <c r="BT15" s="319">
        <f>('3.2. Yfirlit'!BS43)/'3.2. Yfirlit'!BS12</f>
        <v>0.024096898047043368</v>
      </c>
      <c r="BU15" s="319">
        <f>('3.2. Yfirlit'!BT43)/'3.2. Yfirlit'!BT12</f>
        <v>0.010759181637499579</v>
      </c>
      <c r="BV15" s="319">
        <f>('3.2. Yfirlit'!BU43)/'3.2. Yfirlit'!BU12</f>
        <v>0.04001544655007044</v>
      </c>
      <c r="BW15" s="319">
        <f>('3.2. Yfirlit'!BV43)/'3.2. Yfirlit'!BV12</f>
        <v>0.026381913543827865</v>
      </c>
      <c r="BX15" s="319">
        <f>('3.2. Yfirlit'!BW43)/'3.2. Yfirlit'!BW12</f>
        <v>0.025065587911762947</v>
      </c>
      <c r="BY15" s="319">
        <f>('3.2. Yfirlit'!BX43)/'3.2. Yfirlit'!BX12</f>
        <v>0.015142386621176573</v>
      </c>
      <c r="BZ15" s="319"/>
      <c r="CA15" s="319">
        <f>('3.2. Yfirlit'!BZ43)/'3.2. Yfirlit'!BZ12</f>
        <v>0.024096898047043357</v>
      </c>
    </row>
    <row r="16" spans="1:79" ht="12.75">
      <c r="A16" s="127" t="s">
        <v>678</v>
      </c>
      <c r="B16" s="190">
        <v>6</v>
      </c>
      <c r="C16" s="319">
        <f>('3.2. Yfirlit'!B43)/(('3.2. Yfirlit'!B60+'3.2. Yfirlit'!B63)/2)</f>
        <v>0.0013536939447677733</v>
      </c>
      <c r="D16" s="319">
        <f>('3.2. Yfirlit'!C43)/(('3.2. Yfirlit'!C60+'3.2. Yfirlit'!C63)/2)</f>
        <v>0.0014840474426421968</v>
      </c>
      <c r="E16" s="319">
        <f>('3.2. Yfirlit'!D43)/(('3.2. Yfirlit'!D60+'3.2. Yfirlit'!D63)/2)</f>
        <v>0.00213118653837191</v>
      </c>
      <c r="F16" s="319">
        <f>('3.2. Yfirlit'!E43)/(('3.2. Yfirlit'!E60+'3.2. Yfirlit'!E63)/2)</f>
        <v>0.0013521343137893056</v>
      </c>
      <c r="G16" s="319">
        <f>('3.2. Yfirlit'!F43)/(('3.2. Yfirlit'!F60+'3.2. Yfirlit'!F63)/2)</f>
        <v>0.0014084821801284158</v>
      </c>
      <c r="H16" s="319">
        <f>('3.2. Yfirlit'!G43)/(('3.2. Yfirlit'!G60+'3.2. Yfirlit'!G63)/2)</f>
        <v>0.0012220558562349864</v>
      </c>
      <c r="I16" s="319">
        <f>('3.2. Yfirlit'!H43)/(('3.2. Yfirlit'!H60+'3.2. Yfirlit'!H63)/2)</f>
        <v>0.0019216839153967783</v>
      </c>
      <c r="J16" s="319">
        <f>('3.2. Yfirlit'!I43)/(('3.2. Yfirlit'!I60+'3.2. Yfirlit'!I63)/2)</f>
        <v>0.002188395200536</v>
      </c>
      <c r="K16" s="319">
        <f>('3.2. Yfirlit'!J43)/(('3.2. Yfirlit'!J60+'3.2. Yfirlit'!J63)/2)</f>
        <v>0.0033334743445683633</v>
      </c>
      <c r="L16" s="319">
        <f>('3.2. Yfirlit'!K43)/(('3.2. Yfirlit'!K60+'3.2. Yfirlit'!K63)/2)</f>
        <v>0.003251012047442589</v>
      </c>
      <c r="M16" s="319">
        <f>('3.2. Yfirlit'!L43)/(('3.2. Yfirlit'!L60+'3.2. Yfirlit'!L63)/2)</f>
        <v>0.0022478166091975684</v>
      </c>
      <c r="N16" s="319">
        <f>('3.2. Yfirlit'!M43)/(('3.2. Yfirlit'!M60+'3.2. Yfirlit'!M63)/2)</f>
        <v>0.0026649110890900937</v>
      </c>
      <c r="O16" s="319">
        <f>('3.2. Yfirlit'!N43)/(('3.2. Yfirlit'!N60+'3.2. Yfirlit'!N63)/2)</f>
        <v>0.0013362012230616809</v>
      </c>
      <c r="P16" s="319">
        <f>('3.2. Yfirlit'!O43)/(('3.2. Yfirlit'!O60+'3.2. Yfirlit'!O63)/2)</f>
        <v>0.0026432175738380827</v>
      </c>
      <c r="Q16" s="319">
        <f>('3.2. Yfirlit'!P43)/(('3.2. Yfirlit'!P60+'3.2. Yfirlit'!P63)/2)</f>
        <v>0.0015947367626113194</v>
      </c>
      <c r="R16" s="319">
        <f>('3.2. Yfirlit'!Q43)/(('3.2. Yfirlit'!Q60+'3.2. Yfirlit'!Q63)/2)</f>
        <v>0.002652080973552496</v>
      </c>
      <c r="S16" s="319">
        <f>('3.2. Yfirlit'!R43)/(('3.2. Yfirlit'!R60+'3.2. Yfirlit'!R63)/2)</f>
        <v>0.0026329406400206106</v>
      </c>
      <c r="T16" s="319">
        <f>('3.2. Yfirlit'!S43)/(('3.2. Yfirlit'!S60+'3.2. Yfirlit'!S63)/2)</f>
        <v>0.0019105434263439287</v>
      </c>
      <c r="U16" s="319">
        <f>('3.2. Yfirlit'!T43)/(('3.2. Yfirlit'!T60+'3.2. Yfirlit'!T63)/2)</f>
        <v>0.0007241760211651218</v>
      </c>
      <c r="V16" s="319">
        <f>('3.2. Yfirlit'!U43)/(('3.2. Yfirlit'!U60+'3.2. Yfirlit'!U63)/2)</f>
        <v>0.00011234446784360388</v>
      </c>
      <c r="W16" s="319">
        <f>('3.2. Yfirlit'!V43)/(('3.2. Yfirlit'!V60+'3.2. Yfirlit'!V63)/2)</f>
        <v>0.0013537076579822984</v>
      </c>
      <c r="X16" s="319">
        <f>('3.2. Yfirlit'!W43)/(('3.2. Yfirlit'!W60+'3.2. Yfirlit'!W63)/2)</f>
        <v>0.0012541896839527579</v>
      </c>
      <c r="Y16" s="319">
        <f>('3.2. Yfirlit'!X43)/(('3.2. Yfirlit'!X60+'3.2. Yfirlit'!X63)/2)</f>
        <v>0.00445528546164441</v>
      </c>
      <c r="Z16" s="319">
        <f>('3.2. Yfirlit'!Y43)/(('3.2. Yfirlit'!Y60+'3.2. Yfirlit'!Y63)/2)</f>
        <v>0.004219355052728343</v>
      </c>
      <c r="AA16" s="319">
        <f>('3.2. Yfirlit'!Z43)/(('3.2. Yfirlit'!Z60+'3.2. Yfirlit'!Z63)/2)</f>
        <v>0.0013903114022437457</v>
      </c>
      <c r="AB16" s="319">
        <f>('3.2. Yfirlit'!AA43)/(('3.2. Yfirlit'!AA60+'3.2. Yfirlit'!AA63)/2)</f>
        <v>0.0019758332490715106</v>
      </c>
      <c r="AC16" s="319">
        <f>('3.2. Yfirlit'!AB43)/(('3.2. Yfirlit'!AB60+'3.2. Yfirlit'!AB63)/2)</f>
        <v>0.002538530924268105</v>
      </c>
      <c r="AD16" s="319">
        <f>('3.2. Yfirlit'!AC43)/(('3.2. Yfirlit'!AC60+'3.2. Yfirlit'!AC63)/2)</f>
        <v>0.0006338841130756098</v>
      </c>
      <c r="AE16" s="319">
        <f>('3.2. Yfirlit'!AD43)/(('3.2. Yfirlit'!AD60+'3.2. Yfirlit'!AD63)/2)</f>
        <v>0.0010832158955251775</v>
      </c>
      <c r="AF16" s="319">
        <f>('3.2. Yfirlit'!AE43)/(('3.2. Yfirlit'!AE60+'3.2. Yfirlit'!AE63)/2)</f>
        <v>0.0019026509855777772</v>
      </c>
      <c r="AG16" s="319">
        <f>('3.2. Yfirlit'!AF43)/(('3.2. Yfirlit'!AF60+'3.2. Yfirlit'!AF63)/2)</f>
        <v>0.0006465146239581257</v>
      </c>
      <c r="AH16" s="319">
        <f>('3.2. Yfirlit'!AG43)/(('3.2. Yfirlit'!AG60+'3.2. Yfirlit'!AG63)/2)</f>
        <v>0.007613713453256678</v>
      </c>
      <c r="AI16" s="319">
        <f>('3.2. Yfirlit'!AH43)/(('3.2. Yfirlit'!AH60+'3.2. Yfirlit'!AH63)/2)</f>
        <v>0.001457092318509977</v>
      </c>
      <c r="AJ16" s="319">
        <f>('3.2. Yfirlit'!AI43)/(('3.2. Yfirlit'!AI60+'3.2. Yfirlit'!AI63)/2)</f>
        <v>0.0028312712000776066</v>
      </c>
      <c r="AK16" s="319">
        <f>('3.2. Yfirlit'!AJ43)/(('3.2. Yfirlit'!AJ60+'3.2. Yfirlit'!AJ63)/2)</f>
        <v>0.005691323563898651</v>
      </c>
      <c r="AL16" s="319">
        <f>('3.2. Yfirlit'!AK43)/(('3.2. Yfirlit'!AK60+'3.2. Yfirlit'!AK63)/2)</f>
        <v>0.0011773276884446205</v>
      </c>
      <c r="AM16" s="319">
        <f>('3.2. Yfirlit'!AL43)/(('3.2. Yfirlit'!AL60+'3.2. Yfirlit'!AL63)/2)</f>
        <v>0.0016908523674295495</v>
      </c>
      <c r="AN16" s="319">
        <f>('3.2. Yfirlit'!AM43)/(('3.2. Yfirlit'!AM60+'3.2. Yfirlit'!AM63)/2)</f>
        <v>0.0018993895755110186</v>
      </c>
      <c r="AO16" s="319">
        <f>('3.2. Yfirlit'!AN43)/(('3.2. Yfirlit'!AN60+'3.2. Yfirlit'!AN63)/2)</f>
        <v>0.0022579693855371142</v>
      </c>
      <c r="AP16" s="319">
        <f>('3.2. Yfirlit'!AO43)/(('3.2. Yfirlit'!AO60+'3.2. Yfirlit'!AO63)/2)</f>
        <v>0.004433269134354694</v>
      </c>
      <c r="AQ16" s="319">
        <f>('3.2. Yfirlit'!AP43)/(('3.2. Yfirlit'!AP60+'3.2. Yfirlit'!AP63)/2)</f>
        <v>0.0034789299712006806</v>
      </c>
      <c r="AR16" s="319">
        <f>('3.2. Yfirlit'!AQ43)/(('3.2. Yfirlit'!AQ60+'3.2. Yfirlit'!AQ63)/2)</f>
        <v>0.0037792839313349922</v>
      </c>
      <c r="AS16" s="319">
        <f>('3.2. Yfirlit'!AR43)/(('3.2. Yfirlit'!AR60+'3.2. Yfirlit'!AR63)/2)</f>
        <v>0.0028935303157993793</v>
      </c>
      <c r="AT16" s="319">
        <f>('3.2. Yfirlit'!AS43)/(('3.2. Yfirlit'!AS60+'3.2. Yfirlit'!AS63)/2)</f>
        <v>0.0009098913085661889</v>
      </c>
      <c r="AU16" s="319">
        <f>('3.2. Yfirlit'!AT43)/(('3.2. Yfirlit'!AT60+'3.2. Yfirlit'!AT63)/2)</f>
        <v>0.004716126596360763</v>
      </c>
      <c r="AV16" s="319">
        <f>('3.2. Yfirlit'!AU43)/(('3.2. Yfirlit'!AU60+'3.2. Yfirlit'!AU63)/2)</f>
        <v>0.028971699642050954</v>
      </c>
      <c r="AW16" s="319">
        <f>('3.2. Yfirlit'!AV43)/(('3.2. Yfirlit'!AV60+'3.2. Yfirlit'!AV63)/2)</f>
        <v>0.0020679395535757113</v>
      </c>
      <c r="AX16" s="319">
        <f>('3.2. Yfirlit'!AW43)/(('3.2. Yfirlit'!AW60+'3.2. Yfirlit'!AW63)/2)</f>
        <v>0.0014702569088655129</v>
      </c>
      <c r="AY16" s="319">
        <f>('3.2. Yfirlit'!AX43)/(('3.2. Yfirlit'!AX60+'3.2. Yfirlit'!AX63)/2)</f>
        <v>0.001685408908916458</v>
      </c>
      <c r="AZ16" s="319">
        <f>('3.2. Yfirlit'!AY43)/(('3.2. Yfirlit'!AY60+'3.2. Yfirlit'!AY63)/2)</f>
        <v>0.008487508793357367</v>
      </c>
      <c r="BA16" s="319">
        <f>('3.2. Yfirlit'!AZ43)/(('3.2. Yfirlit'!AZ60+'3.2. Yfirlit'!AZ63)/2)</f>
        <v>0.001039831894365766</v>
      </c>
      <c r="BB16" s="319">
        <f>('3.2. Yfirlit'!BA43)/(('3.2. Yfirlit'!BA60+'3.2. Yfirlit'!BA63)/2)</f>
        <v>0.0008451862799964326</v>
      </c>
      <c r="BC16" s="319">
        <f>('3.2. Yfirlit'!BB43)/(('3.2. Yfirlit'!BB60+'3.2. Yfirlit'!BB63)/2)</f>
        <v>0.004537855064424776</v>
      </c>
      <c r="BD16" s="319">
        <f>('3.2. Yfirlit'!BC43)/(('3.2. Yfirlit'!BC60+'3.2. Yfirlit'!BC63)/2)</f>
        <v>0.004109056850650502</v>
      </c>
      <c r="BE16" s="319">
        <f>('3.2. Yfirlit'!BD43)/(('3.2. Yfirlit'!BD60+'3.2. Yfirlit'!BD63)/2)</f>
        <v>0.006618222367108377</v>
      </c>
      <c r="BF16" s="319">
        <f>('3.2. Yfirlit'!BE43)/(('3.2. Yfirlit'!BE60+'3.2. Yfirlit'!BE63)/2)</f>
        <v>0.011693423961994721</v>
      </c>
      <c r="BG16" s="319">
        <f>('3.2. Yfirlit'!BF43)/(('3.2. Yfirlit'!BF60+'3.2. Yfirlit'!BF63)/2)</f>
        <v>0.008557784529043148</v>
      </c>
      <c r="BH16" s="319">
        <f>('3.2. Yfirlit'!BG43)/(('3.2. Yfirlit'!BG60+'3.2. Yfirlit'!BG63)/2)</f>
        <v>0.008565509849340998</v>
      </c>
      <c r="BI16" s="319">
        <f>('3.2. Yfirlit'!BH43)/(('3.2. Yfirlit'!BH60+'3.2. Yfirlit'!BH63)/2)</f>
        <v>0.0019038372883874298</v>
      </c>
      <c r="BJ16" s="319">
        <f>('3.2. Yfirlit'!BI43)/(('3.2. Yfirlit'!BI60+'3.2. Yfirlit'!BI63)/2)</f>
        <v>0.001642193300978744</v>
      </c>
      <c r="BK16" s="319">
        <f>('3.2. Yfirlit'!BJ43)/(('3.2. Yfirlit'!BJ60+'3.2. Yfirlit'!BJ63)/2)</f>
        <v>0.014096010223083372</v>
      </c>
      <c r="BL16" s="319">
        <f>('3.2. Yfirlit'!BK43)/(('3.2. Yfirlit'!BK60+'3.2. Yfirlit'!BK63)/2)</f>
        <v>0.005038251944517975</v>
      </c>
      <c r="BM16" s="319">
        <f>('3.2. Yfirlit'!BL43)/(('3.2. Yfirlit'!BL60+'3.2. Yfirlit'!BL63)/2)</f>
        <v>0</v>
      </c>
      <c r="BN16" s="319">
        <f>('3.2. Yfirlit'!BM43)/(('3.2. Yfirlit'!BM60+'3.2. Yfirlit'!BM63)/2)</f>
        <v>0.0031496552020668237</v>
      </c>
      <c r="BO16" s="319"/>
      <c r="BP16" s="319"/>
      <c r="BQ16" s="319"/>
      <c r="BR16" s="319"/>
      <c r="BS16" s="319"/>
      <c r="BT16" s="319">
        <f>('3.2. Yfirlit'!BS43)/(('3.2. Yfirlit'!BS60+'3.2. Yfirlit'!BS63)/2)</f>
        <v>0.0019182351352363704</v>
      </c>
      <c r="BU16" s="319">
        <f>('3.2. Yfirlit'!BT43)/(('3.2. Yfirlit'!BT60+'3.2. Yfirlit'!BT63)/2)</f>
        <v>0.0015388815009523128</v>
      </c>
      <c r="BV16" s="319">
        <f>('3.2. Yfirlit'!BU43)/(('3.2. Yfirlit'!BU60+'3.2. Yfirlit'!BU63)/2)</f>
        <v>0.002341982102045058</v>
      </c>
      <c r="BW16" s="319">
        <f>('3.2. Yfirlit'!BV43)/(('3.2. Yfirlit'!BV60+'3.2. Yfirlit'!BV63)/2)</f>
        <v>0.00161264487491764</v>
      </c>
      <c r="BX16" s="319">
        <f>('3.2. Yfirlit'!BW43)/(('3.2. Yfirlit'!BW60+'3.2. Yfirlit'!BW63)/2)</f>
        <v>0.0018776319042532541</v>
      </c>
      <c r="BY16" s="319">
        <f>('3.2. Yfirlit'!BX43)/(('3.2. Yfirlit'!BX60+'3.2. Yfirlit'!BX63)/2)</f>
        <v>0.0028668692154160793</v>
      </c>
      <c r="BZ16" s="319"/>
      <c r="CA16" s="319">
        <f>('3.2. Yfirlit'!BZ43)/(('3.2. Yfirlit'!BZ60+'3.2. Yfirlit'!BZ63)/2)</f>
        <v>0.001918235135236371</v>
      </c>
    </row>
    <row r="17" spans="1:79" ht="12.75">
      <c r="A17" s="127" t="s">
        <v>679</v>
      </c>
      <c r="B17" s="190">
        <v>7</v>
      </c>
      <c r="C17" s="320">
        <f>(('3.2. Yfirlit'!B43)/C21)*1000</f>
        <v>3295.464236453202</v>
      </c>
      <c r="D17" s="320">
        <f>(('3.2. Yfirlit'!C43)/D21)*1000</f>
        <v>2709.5269118636465</v>
      </c>
      <c r="E17" s="320">
        <f>(('3.2. Yfirlit'!D43)/E21)*1000</f>
        <v>4173.755622755623</v>
      </c>
      <c r="F17" s="320">
        <f>(('3.2. Yfirlit'!E43)/F21)*1000</f>
        <v>5432.02549194991</v>
      </c>
      <c r="G17" s="320">
        <f>(('3.2. Yfirlit'!F43)/G21)*1000</f>
        <v>5215.384933656727</v>
      </c>
      <c r="H17" s="320">
        <f>(('3.2. Yfirlit'!G43)/H21)*1000</f>
        <v>2523.784617951285</v>
      </c>
      <c r="I17" s="320">
        <f>(('3.2. Yfirlit'!H43)/I21)*1000</f>
        <v>3593.944099378882</v>
      </c>
      <c r="J17" s="320">
        <f>(('3.2. Yfirlit'!I43)/J21)*1000</f>
        <v>5561.810036719706</v>
      </c>
      <c r="K17" s="320">
        <f>(('3.2. Yfirlit'!J43)/K21)*1000</f>
        <v>5277.118828176432</v>
      </c>
      <c r="L17" s="320">
        <f>(('3.2. Yfirlit'!K43)/L21)*1000</f>
        <v>10036.366824005394</v>
      </c>
      <c r="M17" s="320">
        <f>(('3.2. Yfirlit'!L43)/M21)*1000</f>
        <v>3261.757580862534</v>
      </c>
      <c r="N17" s="320">
        <f>(('3.2. Yfirlit'!M43)/N21)*1000</f>
        <v>8656.918084685398</v>
      </c>
      <c r="O17" s="320">
        <f>(('3.2. Yfirlit'!N43)/O21)*1000</f>
        <v>9086.386602870813</v>
      </c>
      <c r="P17" s="320">
        <f>(('3.2. Yfirlit'!O43)/P21)*1000</f>
        <v>5872.908113391984</v>
      </c>
      <c r="Q17" s="320">
        <f>(('3.2. Yfirlit'!P43)/Q21)*1000</f>
        <v>7622.320874471086</v>
      </c>
      <c r="R17" s="320">
        <f>(('3.2. Yfirlit'!Q43)/R21)*1000</f>
        <v>9910.407639680729</v>
      </c>
      <c r="S17" s="320">
        <f>(('3.2. Yfirlit'!R43)/S21)*1000</f>
        <v>11167.925563909774</v>
      </c>
      <c r="T17" s="320">
        <f>(('3.2. Yfirlit'!S43)/T21)*1000</f>
        <v>3519.117067402444</v>
      </c>
      <c r="U17" s="320">
        <f>(('3.2. Yfirlit'!T43)/U21)*1000</f>
        <v>12868.26171875</v>
      </c>
      <c r="V17" s="320">
        <f>(('3.2. Yfirlit'!U43)/V21)*1000</f>
        <v>625.7537437603993</v>
      </c>
      <c r="W17" s="320">
        <f>(('3.2. Yfirlit'!V43)/W21)*1000</f>
        <v>2803.0482478415443</v>
      </c>
      <c r="X17" s="320">
        <f>(('3.2. Yfirlit'!W43)/X21)*1000</f>
        <v>2120.427826086957</v>
      </c>
      <c r="Y17" s="320">
        <f>(('3.2. Yfirlit'!X43)/Y21)*1000</f>
        <v>7371.0763747454175</v>
      </c>
      <c r="Z17" s="320">
        <f>(('3.2. Yfirlit'!Y43)/Z21)*1000</f>
        <v>6766.001126126126</v>
      </c>
      <c r="AA17" s="320">
        <f>(('3.2. Yfirlit'!Z43)/AA21)*1000</f>
        <v>5120.368489583334</v>
      </c>
      <c r="AB17" s="320">
        <f>(('3.2. Yfirlit'!AA43)/AB21)*1000</f>
        <v>1243.986208761493</v>
      </c>
      <c r="AC17" s="320">
        <f>(('3.2. Yfirlit'!AB43)/AC21)*1000</f>
        <v>3126.8614190687363</v>
      </c>
      <c r="AD17" s="320">
        <f>(('3.2. Yfirlit'!AC43)/AD21)*1000</f>
        <v>1970.9436619718308</v>
      </c>
      <c r="AE17" s="320"/>
      <c r="AF17" s="320">
        <f>(('3.2. Yfirlit'!AE43)/AF21)*1000</f>
        <v>8427.565632458234</v>
      </c>
      <c r="AG17" s="320"/>
      <c r="AH17" s="320">
        <f>(('3.2. Yfirlit'!AG43)/AH21)*1000</f>
        <v>10024.566704675028</v>
      </c>
      <c r="AI17" s="320">
        <f>(('3.2. Yfirlit'!AH43)/AI21)*1000</f>
        <v>10162.98104265403</v>
      </c>
      <c r="AJ17" s="320">
        <f>(('3.2. Yfirlit'!AI43)/AJ21)*1000</f>
        <v>5629.588397790055</v>
      </c>
      <c r="AK17" s="320">
        <f>(('3.2. Yfirlit'!AJ43)/AK21)*1000</f>
        <v>11093.325732899022</v>
      </c>
      <c r="AL17" s="320">
        <f>(('3.2. Yfirlit'!AK43)/AL21)*1000</f>
        <v>7763.619631901841</v>
      </c>
      <c r="AM17" s="320">
        <f>(('3.2. Yfirlit'!AL43)/AM21)*1000</f>
        <v>7439.761506276151</v>
      </c>
      <c r="AN17" s="320">
        <f>(('3.2. Yfirlit'!AM43)/AN21)*1000</f>
        <v>4416.37064676617</v>
      </c>
      <c r="AO17" s="320">
        <f>(('3.2. Yfirlit'!AN43)/AO21)*1000</f>
        <v>5129.620347394541</v>
      </c>
      <c r="AP17" s="320">
        <f>(('3.2. Yfirlit'!AO43)/AP21)*1000</f>
        <v>3858.60941475827</v>
      </c>
      <c r="AQ17" s="320">
        <f>(('3.2. Yfirlit'!AP43)/AQ21)*1000</f>
        <v>5907.565217391304</v>
      </c>
      <c r="AR17" s="320">
        <f>(('3.2. Yfirlit'!AQ43)/AR21)*1000</f>
        <v>30174.989361702126</v>
      </c>
      <c r="AS17" s="320">
        <f>(('3.2. Yfirlit'!AR43)/AS21)*1000</f>
        <v>4654.627155172413</v>
      </c>
      <c r="AT17" s="320">
        <f>(('3.2. Yfirlit'!AS43)/AT21)*1000</f>
        <v>3248.83</v>
      </c>
      <c r="AU17" s="320">
        <f>(('3.2. Yfirlit'!AT43)/AU21)*1000</f>
        <v>6395.942528735632</v>
      </c>
      <c r="AV17" s="320">
        <f>(('3.2. Yfirlit'!AU43)/AV21)*1000</f>
        <v>3200.1434720229554</v>
      </c>
      <c r="AW17" s="320"/>
      <c r="AX17" s="320">
        <f>(('3.2. Yfirlit'!AW43)/AX21)*1000</f>
        <v>3790.3348017621142</v>
      </c>
      <c r="AY17" s="320"/>
      <c r="AZ17" s="320"/>
      <c r="BA17" s="320"/>
      <c r="BB17" s="320"/>
      <c r="BC17" s="320">
        <f>(('3.2. Yfirlit'!BB43)/BC21)*1000</f>
        <v>7481.534653465346</v>
      </c>
      <c r="BD17" s="320">
        <f>(('3.2. Yfirlit'!BC43)/BD21)*1000</f>
        <v>19291.56451612903</v>
      </c>
      <c r="BE17" s="320">
        <f>(('3.2. Yfirlit'!BD43)/BE21)*1000</f>
        <v>20381.76551724138</v>
      </c>
      <c r="BF17" s="320"/>
      <c r="BG17" s="320"/>
      <c r="BH17" s="320">
        <f>(('3.2. Yfirlit'!BG43)/BH21)*1000</f>
        <v>7139.89010989011</v>
      </c>
      <c r="BI17" s="320">
        <f>(('3.2. Yfirlit'!BH43)/BI21)*1000</f>
        <v>6960.150000000001</v>
      </c>
      <c r="BJ17" s="320">
        <f>(('3.2. Yfirlit'!BI43)/BJ21)*1000</f>
        <v>11092.470588235294</v>
      </c>
      <c r="BK17" s="320">
        <f>(('3.2. Yfirlit'!BJ43)/BK21)*1000</f>
        <v>26807.57894736842</v>
      </c>
      <c r="BL17" s="320">
        <f>(('3.2. Yfirlit'!BK43)/BL21)*1000</f>
        <v>3956.682730923695</v>
      </c>
      <c r="BM17" s="320"/>
      <c r="BN17" s="320"/>
      <c r="BO17" s="320">
        <f>(('3.2. Yfirlit'!BN43)/BO21)*1000</f>
        <v>8805.573529411766</v>
      </c>
      <c r="BP17" s="320">
        <f>(('3.2. Yfirlit'!BO43)/BP21)*1000</f>
        <v>49589.5</v>
      </c>
      <c r="BQ17" s="320"/>
      <c r="BR17" s="320"/>
      <c r="BS17" s="320"/>
      <c r="BT17" s="320">
        <f>(('3.2. Yfirlit'!BS43)/BT21)*1000</f>
        <v>4549.680003738694</v>
      </c>
      <c r="BU17" s="320">
        <f>(('3.2. Yfirlit'!BT43)/BU21)*1000</f>
        <v>2890.4197360192225</v>
      </c>
      <c r="BV17" s="320">
        <f>(('3.2. Yfirlit'!BU43)/BV21)*1000</f>
        <v>5428.607508401345</v>
      </c>
      <c r="BW17" s="320">
        <f>(('3.2. Yfirlit'!BV43)/BW21)*1000</f>
        <v>4499.646826675257</v>
      </c>
      <c r="BX17" s="320">
        <f>(('3.2. Yfirlit'!BW43)/BX21)*1000</f>
        <v>4495.754147744475</v>
      </c>
      <c r="BY17" s="320">
        <f>(('3.2. Yfirlit'!BX43)/BY21)*1000</f>
        <v>5572.4598047660065</v>
      </c>
      <c r="BZ17" s="320"/>
      <c r="CA17" s="320">
        <f>(('3.2. Yfirlit'!BZ43)/CA21)*1000</f>
        <v>4549.680003738695</v>
      </c>
    </row>
    <row r="18" spans="1:79" ht="19.5" customHeight="1">
      <c r="A18" s="127" t="s">
        <v>462</v>
      </c>
      <c r="B18" s="190">
        <v>8</v>
      </c>
      <c r="C18" s="246">
        <f>(SUM(1+'3.5. Aðrar fjárfest'!B72)/SUM(1+'3.5. Aðrar fjárfest'!B73))-1</f>
        <v>0.10192633615843905</v>
      </c>
      <c r="D18" s="246">
        <f>(SUM(1+'3.5. Aðrar fjárfest'!C72)/SUM(1+'3.5. Aðrar fjárfest'!C73))-1</f>
        <v>0.05740771726833338</v>
      </c>
      <c r="E18" s="246">
        <f>(SUM(1+'3.5. Aðrar fjárfest'!D72)/SUM(1+'3.5. Aðrar fjárfest'!D73))-1</f>
        <v>0.08151372707339655</v>
      </c>
      <c r="F18" s="246">
        <f>(SUM(1+'3.5. Aðrar fjárfest'!E72)/SUM(1+'3.5. Aðrar fjárfest'!E73))-1</f>
        <v>0.07023779463268065</v>
      </c>
      <c r="G18" s="246">
        <f>(SUM(1+'3.5. Aðrar fjárfest'!F72)/SUM(1+'3.5. Aðrar fjárfest'!F73))-1</f>
        <v>0.0834161065888872</v>
      </c>
      <c r="H18" s="246">
        <f>(SUM(1+'3.5. Aðrar fjárfest'!G72)/SUM(1+'3.5. Aðrar fjárfest'!G73))-1</f>
        <v>0.08690846359484738</v>
      </c>
      <c r="I18" s="246">
        <f>(SUM(1+'3.5. Aðrar fjárfest'!H72)/SUM(1+'3.5. Aðrar fjárfest'!H73))-1</f>
        <v>0.0822280721303228</v>
      </c>
      <c r="J18" s="246">
        <f>(SUM(1+'3.5. Aðrar fjárfest'!I72)/SUM(1+'3.5. Aðrar fjárfest'!I73))-1</f>
        <v>0.13200335208405334</v>
      </c>
      <c r="K18" s="246">
        <f>(SUM(1+'3.5. Aðrar fjárfest'!J72)/SUM(1+'3.5. Aðrar fjárfest'!J73))-1</f>
        <v>0.13407386068174332</v>
      </c>
      <c r="L18" s="246">
        <f>(SUM(1+'3.5. Aðrar fjárfest'!K72)/SUM(1+'3.5. Aðrar fjárfest'!K73))-1</f>
        <v>0.10100116484999933</v>
      </c>
      <c r="M18" s="246">
        <f>(SUM(1+'3.5. Aðrar fjárfest'!L72)/SUM(1+'3.5. Aðrar fjárfest'!L73))-1</f>
        <v>0.09608146541976481</v>
      </c>
      <c r="N18" s="246">
        <f>(SUM(1+'3.5. Aðrar fjárfest'!M72)/SUM(1+'3.5. Aðrar fjárfest'!M73))-1</f>
        <v>0.06305070456831285</v>
      </c>
      <c r="O18" s="246">
        <f>(SUM(1+'3.5. Aðrar fjárfest'!N72)/SUM(1+'3.5. Aðrar fjárfest'!N73))-1</f>
        <v>0.0814841752723241</v>
      </c>
      <c r="P18" s="246">
        <f>(SUM(1+'3.5. Aðrar fjárfest'!O72)/SUM(1+'3.5. Aðrar fjárfest'!O73))-1</f>
        <v>0.07394971305357823</v>
      </c>
      <c r="Q18" s="246">
        <f>(SUM(1+'3.5. Aðrar fjárfest'!P72)/SUM(1+'3.5. Aðrar fjárfest'!P73))-1</f>
        <v>0.05594226818603909</v>
      </c>
      <c r="R18" s="246">
        <f>(SUM(1+'3.5. Aðrar fjárfest'!Q72)/SUM(1+'3.5. Aðrar fjárfest'!Q73))-1</f>
        <v>0.06787542963005189</v>
      </c>
      <c r="S18" s="246">
        <f>(SUM(1+'3.5. Aðrar fjárfest'!R72)/SUM(1+'3.5. Aðrar fjárfest'!R73))-1</f>
        <v>0.06680217265133503</v>
      </c>
      <c r="T18" s="246">
        <f>(SUM(1+'3.5. Aðrar fjárfest'!S72)/SUM(1+'3.5. Aðrar fjárfest'!S73))-1</f>
        <v>0.061742806725322286</v>
      </c>
      <c r="U18" s="246">
        <f>(SUM(1+'3.5. Aðrar fjárfest'!T72)/SUM(1+'3.5. Aðrar fjárfest'!T73))-1</f>
        <v>0.05922313276526081</v>
      </c>
      <c r="V18" s="246">
        <f>(SUM(1+'3.5. Aðrar fjárfest'!U72)/SUM(1+'3.5. Aðrar fjárfest'!U73))-1</f>
        <v>0.023950505024193713</v>
      </c>
      <c r="W18" s="246">
        <f>(SUM(1+'3.5. Aðrar fjárfest'!V72)/SUM(1+'3.5. Aðrar fjárfest'!V73))-1</f>
        <v>0.06077704344704449</v>
      </c>
      <c r="X18" s="246">
        <f>(SUM(1+'3.5. Aðrar fjárfest'!W72)/SUM(1+'3.5. Aðrar fjárfest'!W73))-1</f>
        <v>0.07991546346091671</v>
      </c>
      <c r="Y18" s="246">
        <f>(SUM(1+'3.5. Aðrar fjárfest'!X72)/SUM(1+'3.5. Aðrar fjárfest'!X73))-1</f>
        <v>0.06291993805323282</v>
      </c>
      <c r="Z18" s="246">
        <f>(SUM(1+'3.5. Aðrar fjárfest'!Y72)/SUM(1+'3.5. Aðrar fjárfest'!Y73))-1</f>
        <v>0.06606307137815892</v>
      </c>
      <c r="AA18" s="246">
        <f>(SUM(1+'3.5. Aðrar fjárfest'!Z72)/SUM(1+'3.5. Aðrar fjárfest'!Z73))-1</f>
        <v>0.07472556088446725</v>
      </c>
      <c r="AB18" s="246">
        <f>(SUM(1+'3.5. Aðrar fjárfest'!AA72)/SUM(1+'3.5. Aðrar fjárfest'!AA73))-1</f>
        <v>0.04953013323875721</v>
      </c>
      <c r="AC18" s="246">
        <f>(SUM(1+'3.5. Aðrar fjárfest'!AB72)/SUM(1+'3.5. Aðrar fjárfest'!AB73))-1</f>
        <v>0.08705592739857737</v>
      </c>
      <c r="AD18" s="246">
        <f>(SUM(1+'3.5. Aðrar fjárfest'!AC72)/SUM(1+'3.5. Aðrar fjárfest'!AC73))-1</f>
        <v>0.07106056498093727</v>
      </c>
      <c r="AE18" s="246">
        <f>(SUM(1+'3.5. Aðrar fjárfest'!AD72)/SUM(1+'3.5. Aðrar fjárfest'!AD73))-1</f>
        <v>0.08220461394428114</v>
      </c>
      <c r="AF18" s="246">
        <f>(SUM(1+'3.5. Aðrar fjárfest'!AE72)/SUM(1+'3.5. Aðrar fjárfest'!AE73))-1</f>
        <v>0.1353528344608237</v>
      </c>
      <c r="AG18" s="246">
        <f>(SUM(1+'3.5. Aðrar fjárfest'!AF72)/SUM(1+'3.5. Aðrar fjárfest'!AF73))-1</f>
        <v>0.05963368900972843</v>
      </c>
      <c r="AH18" s="246">
        <f>(SUM(1+'3.5. Aðrar fjárfest'!AG72)/SUM(1+'3.5. Aðrar fjárfest'!AG73))-1</f>
        <v>0.0566491660509616</v>
      </c>
      <c r="AI18" s="246">
        <f>(SUM(1+'3.5. Aðrar fjárfest'!AH72)/SUM(1+'3.5. Aðrar fjárfest'!AH73))-1</f>
        <v>0.061325786767184365</v>
      </c>
      <c r="AJ18" s="246">
        <f>(SUM(1+'3.5. Aðrar fjárfest'!AI72)/SUM(1+'3.5. Aðrar fjárfest'!AI73))-1</f>
        <v>0.07208143138697376</v>
      </c>
      <c r="AK18" s="246">
        <f>(SUM(1+'3.5. Aðrar fjárfest'!AJ72)/SUM(1+'3.5. Aðrar fjárfest'!AJ73))-1</f>
        <v>0.05815750417518739</v>
      </c>
      <c r="AL18" s="246">
        <f>(SUM(1+'3.5. Aðrar fjárfest'!AK72)/SUM(1+'3.5. Aðrar fjárfest'!AK73))-1</f>
        <v>0.07040966271703675</v>
      </c>
      <c r="AM18" s="246">
        <f>(SUM(1+'3.5. Aðrar fjárfest'!AL72)/SUM(1+'3.5. Aðrar fjárfest'!AL73))-1</f>
        <v>0.06233506542103928</v>
      </c>
      <c r="AN18" s="246">
        <f>(SUM(1+'3.5. Aðrar fjárfest'!AM72)/SUM(1+'3.5. Aðrar fjárfest'!AM73))-1</f>
        <v>0.0642537756788164</v>
      </c>
      <c r="AO18" s="246">
        <f>(SUM(1+'3.5. Aðrar fjárfest'!AN72)/SUM(1+'3.5. Aðrar fjárfest'!AN73))-1</f>
        <v>0.08947040549076601</v>
      </c>
      <c r="AP18" s="246">
        <f>(SUM(1+'3.5. Aðrar fjárfest'!AO72)/SUM(1+'3.5. Aðrar fjárfest'!AO73))-1</f>
        <v>0.07507376733278304</v>
      </c>
      <c r="AQ18" s="246">
        <f>(SUM(1+'3.5. Aðrar fjárfest'!AP72)/SUM(1+'3.5. Aðrar fjárfest'!AP73))-1</f>
        <v>0.06391111805159166</v>
      </c>
      <c r="AR18" s="246">
        <f>(SUM(1+'3.5. Aðrar fjárfest'!AQ72)/SUM(1+'3.5. Aðrar fjárfest'!AQ73))-1</f>
        <v>0.07169205273991897</v>
      </c>
      <c r="AS18" s="246">
        <f>(SUM(1+'3.5. Aðrar fjárfest'!AR72)/SUM(1+'3.5. Aðrar fjárfest'!AR73))-1</f>
        <v>0.05840181821537249</v>
      </c>
      <c r="AT18" s="246">
        <f>(SUM(1+'3.5. Aðrar fjárfest'!AS72)/SUM(1+'3.5. Aðrar fjárfest'!AS73))-1</f>
        <v>0.06942186268806227</v>
      </c>
      <c r="AU18" s="246">
        <f>(SUM(1+'3.5. Aðrar fjárfest'!AT72)/SUM(1+'3.5. Aðrar fjárfest'!AT73))-1</f>
        <v>0.05555412354256428</v>
      </c>
      <c r="AV18" s="246">
        <f>(SUM(1+'3.5. Aðrar fjárfest'!AU72)/SUM(1+'3.5. Aðrar fjárfest'!AU73))-1</f>
        <v>0.005211514443593357</v>
      </c>
      <c r="AW18" s="246">
        <f>(SUM(1+'3.5. Aðrar fjárfest'!AV72)/SUM(1+'3.5. Aðrar fjárfest'!AV73))-1</f>
        <v>0.07412423206252061</v>
      </c>
      <c r="AX18" s="246">
        <f>(SUM(1+'3.5. Aðrar fjárfest'!AW72)/SUM(1+'3.5. Aðrar fjárfest'!AW73))-1</f>
        <v>0.06033051205346607</v>
      </c>
      <c r="AY18" s="246">
        <f>(SUM(1+'3.5. Aðrar fjárfest'!AX72)/SUM(1+'3.5. Aðrar fjárfest'!AX73))-1</f>
        <v>0.06212877139836315</v>
      </c>
      <c r="AZ18" s="246">
        <f>(SUM(1+'3.5. Aðrar fjárfest'!AY72)/SUM(1+'3.5. Aðrar fjárfest'!AY73))-1</f>
        <v>0.06426709793601315</v>
      </c>
      <c r="BA18" s="246">
        <f>(SUM(1+'3.5. Aðrar fjárfest'!AZ72)/SUM(1+'3.5. Aðrar fjárfest'!AZ73))-1</f>
        <v>0.0740719578909228</v>
      </c>
      <c r="BB18" s="246">
        <f>(SUM(1+'3.5. Aðrar fjárfest'!BA72)/SUM(1+'3.5. Aðrar fjárfest'!BA73))-1</f>
        <v>0.07554542919034613</v>
      </c>
      <c r="BC18" s="246">
        <f>(SUM(1+'3.5. Aðrar fjárfest'!BB72)/SUM(1+'3.5. Aðrar fjárfest'!BB73))-1</f>
        <v>0.05798207397107724</v>
      </c>
      <c r="BD18" s="246">
        <f>(SUM(1+'3.5. Aðrar fjárfest'!BC72)/SUM(1+'3.5. Aðrar fjárfest'!BC73))-1</f>
        <v>0.07222648154630984</v>
      </c>
      <c r="BE18" s="246">
        <f>(SUM(1+'3.5. Aðrar fjárfest'!BD72)/SUM(1+'3.5. Aðrar fjárfest'!BD73))-1</f>
        <v>0.06304398124239019</v>
      </c>
      <c r="BF18" s="246">
        <f>(SUM(1+'3.5. Aðrar fjárfest'!BE72)/SUM(1+'3.5. Aðrar fjárfest'!BE73))-1</f>
        <v>0.041677325443246094</v>
      </c>
      <c r="BG18" s="246">
        <f>(SUM(1+'3.5. Aðrar fjárfest'!BF72)/SUM(1+'3.5. Aðrar fjárfest'!BF73))-1</f>
        <v>0.07663814524500356</v>
      </c>
      <c r="BH18" s="246">
        <f>(SUM(1+'3.5. Aðrar fjárfest'!BG72)/SUM(1+'3.5. Aðrar fjárfest'!BG73))-1</f>
        <v>0.082389903353981</v>
      </c>
      <c r="BI18" s="246">
        <f>(SUM(1+'3.5. Aðrar fjárfest'!BH72)/SUM(1+'3.5. Aðrar fjárfest'!BH73))-1</f>
        <v>0.05443677170879746</v>
      </c>
      <c r="BJ18" s="246">
        <f>(SUM(1+'3.5. Aðrar fjárfest'!BI72)/SUM(1+'3.5. Aðrar fjárfest'!BI73))-1</f>
        <v>0.05860929699881634</v>
      </c>
      <c r="BK18" s="246">
        <f>(SUM(1+'3.5. Aðrar fjárfest'!BJ72)/SUM(1+'3.5. Aðrar fjárfest'!BJ73))-1</f>
        <v>0.058608434873892445</v>
      </c>
      <c r="BL18" s="246">
        <f>(SUM(1+'3.5. Aðrar fjárfest'!BK72)/SUM(1+'3.5. Aðrar fjárfest'!BK73))-1</f>
        <v>0.08722022425853315</v>
      </c>
      <c r="BM18" s="246">
        <f>(SUM(1+'3.5. Aðrar fjárfest'!BL72)/SUM(1+'3.5. Aðrar fjárfest'!BL73))-1</f>
        <v>0.04959977480629285</v>
      </c>
      <c r="BN18" s="246">
        <f>(SUM(1+'3.5. Aðrar fjárfest'!BM72)/SUM(1+'3.5. Aðrar fjárfest'!BM73))-1</f>
        <v>0.08335284534878018</v>
      </c>
      <c r="BO18" s="246"/>
      <c r="BP18" s="246"/>
      <c r="BQ18" s="246"/>
      <c r="BR18" s="246"/>
      <c r="BS18" s="246">
        <f>(SUM(1+'3.5. Aðrar fjárfest'!BR72)/SUM(1+'3.5. Aðrar fjárfest'!BR73))-1</f>
        <v>0</v>
      </c>
      <c r="BT18" s="246">
        <f>(SUM(1+'3.5. Aðrar fjárfest'!BS72)/SUM(1+'3.5. Aðrar fjárfest'!BS73))-1</f>
        <v>0.0809968367127365</v>
      </c>
      <c r="BU18" s="246">
        <f>(SUM(1+'3.5. Aðrar fjárfest'!BT72)/SUM(1+'3.5. Aðrar fjárfest'!BT73))-1</f>
        <v>0.056808320319992056</v>
      </c>
      <c r="BV18" s="246">
        <f>(SUM(1+'3.5. Aðrar fjárfest'!BU72)/SUM(1+'3.5. Aðrar fjárfest'!BU73))-1</f>
        <v>0.08332318705161978</v>
      </c>
      <c r="BW18" s="246">
        <f>(SUM(1+'3.5. Aðrar fjárfest'!BV72)/SUM(1+'3.5. Aðrar fjárfest'!BV73))-1</f>
        <v>0.08995389486549588</v>
      </c>
      <c r="BX18" s="246">
        <f>(SUM(1+'3.5. Aðrar fjárfest'!BW72)/SUM(1+'3.5. Aðrar fjárfest'!BW73))-1</f>
        <v>0.08137518178983694</v>
      </c>
      <c r="BY18" s="246">
        <f>(SUM(1+'3.5. Aðrar fjárfest'!BX72)/SUM(1+'3.5. Aðrar fjárfest'!BX73))-1</f>
        <v>0.07219672163340607</v>
      </c>
      <c r="BZ18" s="246"/>
      <c r="CA18" s="246">
        <f>(SUM(1+'3.5. Aðrar fjárfest'!BZ72)/SUM(1+'3.5. Aðrar fjárfest'!BZ73))-1</f>
        <v>0.0809968367127365</v>
      </c>
    </row>
    <row r="19" spans="1:79" ht="12.75">
      <c r="A19" s="100" t="s">
        <v>180</v>
      </c>
      <c r="B19" s="190">
        <v>9</v>
      </c>
      <c r="C19" s="246">
        <f>(SUM(1+'3.5. Aðrar fjárfest'!B78)/SUM(1+'3.5. Aðrar fjárfest'!B73))-1</f>
        <v>0.10151761029778217</v>
      </c>
      <c r="D19" s="246">
        <f>(SUM(1+'3.5. Aðrar fjárfest'!C78)/SUM(1+'3.5. Aðrar fjárfest'!C73))-1</f>
        <v>0.05544788904988196</v>
      </c>
      <c r="E19" s="246">
        <f>(SUM(1+'3.5. Aðrar fjárfest'!D78)/SUM(1+'3.5. Aðrar fjárfest'!D73))-1</f>
        <v>0.08029778637136098</v>
      </c>
      <c r="F19" s="246">
        <f>(SUM(1+'3.5. Aðrar fjárfest'!E78)/SUM(1+'3.5. Aðrar fjárfest'!E73))-1</f>
        <v>0.06904490201080238</v>
      </c>
      <c r="G19" s="246">
        <f>(SUM(1+'3.5. Aðrar fjárfest'!F78)/SUM(1+'3.5. Aðrar fjárfest'!F73))-1</f>
        <v>0.08215459215581467</v>
      </c>
      <c r="H19" s="246">
        <f>(SUM(1+'3.5. Aðrar fjárfest'!G78)/SUM(1+'3.5. Aðrar fjárfest'!G73))-1</f>
        <v>0.0855775091899238</v>
      </c>
      <c r="I19" s="246">
        <f>(SUM(1+'3.5. Aðrar fjárfest'!H78)/SUM(1+'3.5. Aðrar fjárfest'!H73))-1</f>
        <v>0.08145501940578526</v>
      </c>
      <c r="J19" s="246">
        <f>(SUM(1+'3.5. Aðrar fjárfest'!I78)/SUM(1+'3.5. Aðrar fjárfest'!I73))-1</f>
        <v>0.12951615144498962</v>
      </c>
      <c r="K19" s="246">
        <f>(SUM(1+'3.5. Aðrar fjárfest'!J78)/SUM(1+'3.5. Aðrar fjárfest'!J73))-1</f>
        <v>0.13074777252840253</v>
      </c>
      <c r="L19" s="246">
        <f>(SUM(1+'3.5. Aðrar fjárfest'!K78)/SUM(1+'3.5. Aðrar fjárfest'!K73))-1</f>
        <v>0.09829104414505418</v>
      </c>
      <c r="M19" s="246">
        <f>(SUM(1+'3.5. Aðrar fjárfest'!L78)/SUM(1+'3.5. Aðrar fjárfest'!L73))-1</f>
        <v>0.09368197877363338</v>
      </c>
      <c r="N19" s="246">
        <f>(SUM(1+'3.5. Aðrar fjárfest'!M78)/SUM(1+'3.5. Aðrar fjárfest'!M73))-1</f>
        <v>0.05968678358902291</v>
      </c>
      <c r="O19" s="246">
        <f>(SUM(1+'3.5. Aðrar fjárfest'!N78)/SUM(1+'3.5. Aðrar fjárfest'!N73))-1</f>
        <v>0.08028206612383593</v>
      </c>
      <c r="P19" s="246">
        <f>(SUM(1+'3.5. Aðrar fjárfest'!O78)/SUM(1+'3.5. Aðrar fjárfest'!O73))-1</f>
        <v>0.072781335292047</v>
      </c>
      <c r="Q19" s="246">
        <f>(SUM(1+'3.5. Aðrar fjárfest'!P78)/SUM(1+'3.5. Aðrar fjárfest'!P73))-1</f>
        <v>0.053671572228834785</v>
      </c>
      <c r="R19" s="246">
        <f>(SUM(1+'3.5. Aðrar fjárfest'!Q78)/SUM(1+'3.5. Aðrar fjárfest'!Q73))-1</f>
        <v>0.06535156103919082</v>
      </c>
      <c r="S19" s="246">
        <f>(SUM(1+'3.5. Aðrar fjárfest'!R78)/SUM(1+'3.5. Aðrar fjárfest'!R73))-1</f>
        <v>0.06525704315218328</v>
      </c>
      <c r="T19" s="246">
        <f>(SUM(1+'3.5. Aðrar fjárfest'!S78)/SUM(1+'3.5. Aðrar fjárfest'!S73))-1</f>
        <v>0.05984436310493746</v>
      </c>
      <c r="U19" s="246">
        <f>(SUM(1+'3.5. Aðrar fjárfest'!T78)/SUM(1+'3.5. Aðrar fjárfest'!T73))-1</f>
        <v>0.059469456140966104</v>
      </c>
      <c r="V19" s="246">
        <f>(SUM(1+'3.5. Aðrar fjárfest'!U78)/SUM(1+'3.5. Aðrar fjárfest'!U73))-1</f>
        <v>0.02482574512675151</v>
      </c>
      <c r="W19" s="246">
        <f>(SUM(1+'3.5. Aðrar fjárfest'!V78)/SUM(1+'3.5. Aðrar fjárfest'!V73))-1</f>
        <v>0.05933983252694208</v>
      </c>
      <c r="X19" s="246">
        <f>(SUM(1+'3.5. Aðrar fjárfest'!W78)/SUM(1+'3.5. Aðrar fjárfest'!W73))-1</f>
        <v>0.07894359047922128</v>
      </c>
      <c r="Y19" s="246">
        <f>(SUM(1+'3.5. Aðrar fjárfest'!X78)/SUM(1+'3.5. Aðrar fjárfest'!X73))-1</f>
        <v>0.05884463478154922</v>
      </c>
      <c r="Z19" s="246">
        <f>(SUM(1+'3.5. Aðrar fjárfest'!Y78)/SUM(1+'3.5. Aðrar fjárfest'!Y73))-1</f>
        <v>0.061566939745741456</v>
      </c>
      <c r="AA19" s="246">
        <f>(SUM(1+'3.5. Aðrar fjárfest'!Z78)/SUM(1+'3.5. Aðrar fjárfest'!Z73))-1</f>
        <v>0.07322927961174774</v>
      </c>
      <c r="AB19" s="246">
        <f>(SUM(1+'3.5. Aðrar fjárfest'!AA78)/SUM(1+'3.5. Aðrar fjárfest'!AA73))-1</f>
        <v>0.04454883861714887</v>
      </c>
      <c r="AC19" s="246">
        <f>(SUM(1+'3.5. Aðrar fjárfest'!AB78)/SUM(1+'3.5. Aðrar fjárfest'!AB73))-1</f>
        <v>0.08307147261660375</v>
      </c>
      <c r="AD19" s="246">
        <f>(SUM(1+'3.5. Aðrar fjárfest'!AC78)/SUM(1+'3.5. Aðrar fjárfest'!AC73))-1</f>
        <v>0.0703805275180942</v>
      </c>
      <c r="AE19" s="246">
        <f>(SUM(1+'3.5. Aðrar fjárfest'!AD78)/SUM(1+'3.5. Aðrar fjárfest'!AD73))-1</f>
        <v>0.08103014728348756</v>
      </c>
      <c r="AF19" s="246">
        <f>(SUM(1+'3.5. Aðrar fjárfest'!AE78)/SUM(1+'3.5. Aðrar fjárfest'!AE73))-1</f>
        <v>0.13457085295101656</v>
      </c>
      <c r="AG19" s="246">
        <f>(SUM(1+'3.5. Aðrar fjárfest'!AF78)/SUM(1+'3.5. Aðrar fjárfest'!AF73))-1</f>
        <v>0.05894781060097065</v>
      </c>
      <c r="AH19" s="246">
        <f>(SUM(1+'3.5. Aðrar fjárfest'!AG78)/SUM(1+'3.5. Aðrar fjárfest'!AG73))-1</f>
        <v>0.048624532739466764</v>
      </c>
      <c r="AI19" s="246">
        <f>(SUM(1+'3.5. Aðrar fjárfest'!AH78)/SUM(1+'3.5. Aðrar fjárfest'!AH73))-1</f>
        <v>0.05977806550959186</v>
      </c>
      <c r="AJ19" s="246">
        <f>(SUM(1+'3.5. Aðrar fjárfest'!AI78)/SUM(1+'3.5. Aðrar fjárfest'!AI73))-1</f>
        <v>0.0695566125779552</v>
      </c>
      <c r="AK19" s="246">
        <f>(SUM(1+'3.5. Aðrar fjárfest'!AJ78)/SUM(1+'3.5. Aðrar fjárfest'!AJ73))-1</f>
        <v>0.05300623386252434</v>
      </c>
      <c r="AL19" s="246">
        <f>(SUM(1+'3.5. Aðrar fjárfest'!AK78)/SUM(1+'3.5. Aðrar fjárfest'!AK73))-1</f>
        <v>0.06914777319912124</v>
      </c>
      <c r="AM19" s="246">
        <f>(SUM(1+'3.5. Aðrar fjárfest'!AL78)/SUM(1+'3.5. Aðrar fjárfest'!AL73))-1</f>
        <v>0.06125195622811708</v>
      </c>
      <c r="AN19" s="246">
        <f>(SUM(1+'3.5. Aðrar fjárfest'!AM78)/SUM(1+'3.5. Aðrar fjárfest'!AM73))-1</f>
        <v>0.06110294835599683</v>
      </c>
      <c r="AO19" s="246">
        <f>(SUM(1+'3.5. Aðrar fjárfest'!AN78)/SUM(1+'3.5. Aðrar fjárfest'!AN73))-1</f>
        <v>0.08801579183429764</v>
      </c>
      <c r="AP19" s="246">
        <f>(SUM(1+'3.5. Aðrar fjárfest'!AO78)/SUM(1+'3.5. Aðrar fjárfest'!AO73))-1</f>
        <v>0.07030857233925714</v>
      </c>
      <c r="AQ19" s="246">
        <f>(SUM(1+'3.5. Aðrar fjárfest'!AP78)/SUM(1+'3.5. Aðrar fjárfest'!AP73))-1</f>
        <v>0.060210340218734615</v>
      </c>
      <c r="AR19" s="246">
        <f>(SUM(1+'3.5. Aðrar fjárfest'!AQ78)/SUM(1+'3.5. Aðrar fjárfest'!AQ73))-1</f>
        <v>0.0676417663006803</v>
      </c>
      <c r="AS19" s="246">
        <f>(SUM(1+'3.5. Aðrar fjárfest'!AR78)/SUM(1+'3.5. Aðrar fjárfest'!AR73))-1</f>
        <v>0.05316816156637305</v>
      </c>
      <c r="AT19" s="246">
        <f>(SUM(1+'3.5. Aðrar fjárfest'!AS78)/SUM(1+'3.5. Aðrar fjárfest'!AS73))-1</f>
        <v>0.06807523211956656</v>
      </c>
      <c r="AU19" s="246">
        <f>(SUM(1+'3.5. Aðrar fjárfest'!AT78)/SUM(1+'3.5. Aðrar fjárfest'!AT73))-1</f>
        <v>0.05245462795504108</v>
      </c>
      <c r="AV19" s="246">
        <f>(SUM(1+'3.5. Aðrar fjárfest'!AU78)/SUM(1+'3.5. Aðrar fjárfest'!AU73))-1</f>
        <v>-0.023494655537466436</v>
      </c>
      <c r="AW19" s="246">
        <f>(SUM(1+'3.5. Aðrar fjárfest'!AV78)/SUM(1+'3.5. Aðrar fjárfest'!AV73))-1</f>
        <v>0.06939943965084483</v>
      </c>
      <c r="AX19" s="246">
        <f>(SUM(1+'3.5. Aðrar fjárfest'!AW78)/SUM(1+'3.5. Aðrar fjárfest'!AW73))-1</f>
        <v>0.05910043289929523</v>
      </c>
      <c r="AY19" s="246">
        <f>(SUM(1+'3.5. Aðrar fjárfest'!AX78)/SUM(1+'3.5. Aðrar fjárfest'!AX73))-1</f>
        <v>0.06033733745913339</v>
      </c>
      <c r="AZ19" s="246">
        <f>(SUM(1+'3.5. Aðrar fjárfest'!AY78)/SUM(1+'3.5. Aðrar fjárfest'!AY73))-1</f>
        <v>0.05525869160322627</v>
      </c>
      <c r="BA19" s="246">
        <f>(SUM(1+'3.5. Aðrar fjárfest'!AZ78)/SUM(1+'3.5. Aðrar fjárfest'!AZ73))-1</f>
        <v>0.07295337601867358</v>
      </c>
      <c r="BB19" s="246">
        <f>(SUM(1+'3.5. Aðrar fjárfest'!BA78)/SUM(1+'3.5. Aðrar fjárfest'!BA73))-1</f>
        <v>0.07463483682853678</v>
      </c>
      <c r="BC19" s="246">
        <f>(SUM(1+'3.5. Aðrar fjárfest'!BB78)/SUM(1+'3.5. Aðrar fjárfest'!BB73))-1</f>
        <v>0.053185417521390166</v>
      </c>
      <c r="BD19" s="246">
        <f>(SUM(1+'3.5. Aðrar fjárfest'!BC78)/SUM(1+'3.5. Aðrar fjárfest'!BC73))-1</f>
        <v>0.06813543992661009</v>
      </c>
      <c r="BE19" s="246">
        <f>(SUM(1+'3.5. Aðrar fjárfest'!BD78)/SUM(1+'3.5. Aðrar fjárfest'!BD73))-1</f>
        <v>0.05602115634796356</v>
      </c>
      <c r="BF19" s="246">
        <f>(SUM(1+'3.5. Aðrar fjárfest'!BE78)/SUM(1+'3.5. Aðrar fjárfest'!BE73))-1</f>
        <v>0.033231405924429414</v>
      </c>
      <c r="BG19" s="246">
        <f>(SUM(1+'3.5. Aðrar fjárfest'!BF78)/SUM(1+'3.5. Aðrar fjárfest'!BF73))-1</f>
        <v>0.06017986475957615</v>
      </c>
      <c r="BH19" s="246">
        <f>(SUM(1+'3.5. Aðrar fjárfest'!BG78)/SUM(1+'3.5. Aðrar fjárfest'!BG73))-1</f>
        <v>0.07313755940637634</v>
      </c>
      <c r="BI19" s="246">
        <f>(SUM(1+'3.5. Aðrar fjárfest'!BH78)/SUM(1+'3.5. Aðrar fjárfest'!BH73))-1</f>
        <v>0.052428603619332215</v>
      </c>
      <c r="BJ19" s="246">
        <f>(SUM(1+'3.5. Aðrar fjárfest'!BI78)/SUM(1+'3.5. Aðrar fjárfest'!BI73))-1</f>
        <v>0.05686976630682583</v>
      </c>
      <c r="BK19" s="246">
        <f>(SUM(1+'3.5. Aðrar fjárfest'!BJ78)/SUM(1+'3.5. Aðrar fjárfest'!BJ73))-1</f>
        <v>0.04377291955928553</v>
      </c>
      <c r="BL19" s="246">
        <f>(SUM(1+'3.5. Aðrar fjárfest'!BK78)/SUM(1+'3.5. Aðrar fjárfest'!BK73))-1</f>
        <v>0.08174236997006168</v>
      </c>
      <c r="BM19" s="246">
        <f>(SUM(1+'3.5. Aðrar fjárfest'!BL78)/SUM(1+'3.5. Aðrar fjárfest'!BL73))-1</f>
        <v>0.04959977480629285</v>
      </c>
      <c r="BN19" s="246">
        <f>(SUM(1+'3.5. Aðrar fjárfest'!BM78)/SUM(1+'3.5. Aðrar fjárfest'!BM73))-1</f>
        <v>0.07993777083068832</v>
      </c>
      <c r="BO19" s="246"/>
      <c r="BP19" s="246"/>
      <c r="BQ19" s="246"/>
      <c r="BR19" s="246"/>
      <c r="BS19" s="246">
        <f>(SUM(1+'3.5. Aðrar fjárfest'!BR78)/SUM(1+'3.5. Aðrar fjárfest'!BR73))-1</f>
        <v>0</v>
      </c>
      <c r="BT19" s="246">
        <f>(SUM(1+'3.5. Aðrar fjárfest'!BS78)/SUM(1+'3.5. Aðrar fjárfest'!BS73))-1</f>
        <v>0.07933031660931245</v>
      </c>
      <c r="BU19" s="246">
        <f>(SUM(1+'3.5. Aðrar fjárfest'!BT78)/SUM(1+'3.5. Aðrar fjárfest'!BT73))-1</f>
        <v>0.054831717950118986</v>
      </c>
      <c r="BV19" s="246">
        <f>(SUM(1+'3.5. Aðrar fjárfest'!BU78)/SUM(1+'3.5. Aðrar fjárfest'!BU73))-1</f>
        <v>0.08147852672189448</v>
      </c>
      <c r="BW19" s="246">
        <f>(SUM(1+'3.5. Aðrar fjárfest'!BV78)/SUM(1+'3.5. Aðrar fjárfest'!BV73))-1</f>
        <v>0.08870689288496192</v>
      </c>
      <c r="BX19" s="246">
        <f>(SUM(1+'3.5. Aðrar fjárfest'!BW78)/SUM(1+'3.5. Aðrar fjárfest'!BW73))-1</f>
        <v>0.07976566571741417</v>
      </c>
      <c r="BY19" s="246">
        <f>(SUM(1+'3.5. Aðrar fjárfest'!BX78)/SUM(1+'3.5. Aðrar fjárfest'!BX73))-1</f>
        <v>0.06921114641879278</v>
      </c>
      <c r="BZ19" s="246"/>
      <c r="CA19" s="246">
        <f>(SUM(1+'3.5. Aðrar fjárfest'!BZ78)/SUM(1+'3.5. Aðrar fjárfest'!BZ73))-1</f>
        <v>0.07933031660931245</v>
      </c>
    </row>
    <row r="20" spans="1:82" ht="12.75" customHeight="1">
      <c r="A20" s="327" t="s">
        <v>654</v>
      </c>
      <c r="B20" s="190">
        <v>10</v>
      </c>
      <c r="C20" s="91">
        <v>0.077</v>
      </c>
      <c r="D20" s="91">
        <v>0.0546</v>
      </c>
      <c r="E20" s="91">
        <v>0.0787</v>
      </c>
      <c r="F20" s="91">
        <v>0.07</v>
      </c>
      <c r="G20" s="91"/>
      <c r="H20" s="91">
        <v>0.0742</v>
      </c>
      <c r="I20" s="91"/>
      <c r="J20" s="91">
        <v>0.0775</v>
      </c>
      <c r="K20" s="91">
        <v>0.0997</v>
      </c>
      <c r="L20" s="91"/>
      <c r="M20" s="91">
        <v>0.0692</v>
      </c>
      <c r="N20" s="91">
        <v>0.0752</v>
      </c>
      <c r="O20" s="91">
        <v>0.0848</v>
      </c>
      <c r="P20" s="91">
        <v>0.0724</v>
      </c>
      <c r="Q20" s="91">
        <v>0.062</v>
      </c>
      <c r="R20" s="91">
        <v>0.0776</v>
      </c>
      <c r="S20" s="91">
        <v>0.0616</v>
      </c>
      <c r="T20" s="91">
        <v>0.088</v>
      </c>
      <c r="U20" s="91"/>
      <c r="V20" s="91">
        <v>0.0542</v>
      </c>
      <c r="W20" s="91">
        <v>0.0614</v>
      </c>
      <c r="X20" s="91">
        <v>0.0702</v>
      </c>
      <c r="Y20" s="91">
        <v>0.0641</v>
      </c>
      <c r="Z20" s="91">
        <v>0.0734</v>
      </c>
      <c r="AA20" s="91">
        <v>0.08647607183757455</v>
      </c>
      <c r="AB20" s="91">
        <v>0.0452</v>
      </c>
      <c r="AC20" s="91">
        <v>0.0618</v>
      </c>
      <c r="AD20" s="91"/>
      <c r="AE20" s="91">
        <v>0.079</v>
      </c>
      <c r="AF20" s="91">
        <v>0.112</v>
      </c>
      <c r="AG20" s="91">
        <v>0.0651</v>
      </c>
      <c r="AH20" s="91">
        <v>0.0553</v>
      </c>
      <c r="AI20" s="91">
        <v>0.0715</v>
      </c>
      <c r="AJ20" s="91">
        <v>0.067</v>
      </c>
      <c r="AK20" s="91">
        <v>0.053</v>
      </c>
      <c r="AL20" s="91">
        <v>0.0667</v>
      </c>
      <c r="AM20" s="91">
        <v>0.0663</v>
      </c>
      <c r="AN20" s="91">
        <v>0.064</v>
      </c>
      <c r="AO20" s="91"/>
      <c r="AP20" s="91">
        <v>0.0501</v>
      </c>
      <c r="AQ20" s="91">
        <v>0.064</v>
      </c>
      <c r="AR20" s="91"/>
      <c r="AS20" s="91">
        <v>0.0633</v>
      </c>
      <c r="AT20" s="91"/>
      <c r="AU20" s="91">
        <v>0.059</v>
      </c>
      <c r="AV20" s="91">
        <v>0.0546</v>
      </c>
      <c r="AW20" s="91">
        <v>0.071</v>
      </c>
      <c r="AX20" s="91">
        <v>0.0654</v>
      </c>
      <c r="AY20" s="91">
        <v>0.06911541072924954</v>
      </c>
      <c r="AZ20" s="91">
        <v>0.064</v>
      </c>
      <c r="BA20" s="91">
        <v>0.0678</v>
      </c>
      <c r="BB20" s="91">
        <v>0.0811</v>
      </c>
      <c r="BC20" s="91">
        <v>0.0543</v>
      </c>
      <c r="BD20" s="91">
        <v>0.0697</v>
      </c>
      <c r="BE20" s="91">
        <v>0.065</v>
      </c>
      <c r="BF20" s="91">
        <v>0.033</v>
      </c>
      <c r="BG20" s="91"/>
      <c r="BH20" s="91"/>
      <c r="BI20" s="91">
        <v>0.0996</v>
      </c>
      <c r="BJ20" s="91">
        <v>0.077</v>
      </c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</row>
    <row r="21" spans="1:79" s="128" customFormat="1" ht="18" customHeight="1">
      <c r="A21" s="100" t="s">
        <v>181</v>
      </c>
      <c r="B21" s="190">
        <v>11</v>
      </c>
      <c r="C21" s="10">
        <v>20300</v>
      </c>
      <c r="D21" s="10">
        <v>17836</v>
      </c>
      <c r="E21" s="10">
        <v>15873</v>
      </c>
      <c r="F21" s="10">
        <v>6708</v>
      </c>
      <c r="G21" s="10">
        <v>7009</v>
      </c>
      <c r="H21" s="10">
        <v>5994</v>
      </c>
      <c r="I21" s="10">
        <v>6440</v>
      </c>
      <c r="J21" s="10">
        <v>4085</v>
      </c>
      <c r="K21" s="10">
        <v>6076</v>
      </c>
      <c r="L21" s="10">
        <v>2966</v>
      </c>
      <c r="M21" s="10">
        <v>5936</v>
      </c>
      <c r="N21" s="10">
        <v>2527</v>
      </c>
      <c r="O21" s="10">
        <v>1045</v>
      </c>
      <c r="P21" s="10">
        <v>3069</v>
      </c>
      <c r="Q21" s="10">
        <v>1418</v>
      </c>
      <c r="R21" s="10">
        <v>1754</v>
      </c>
      <c r="S21" s="10">
        <v>1330</v>
      </c>
      <c r="T21" s="10">
        <v>2537</v>
      </c>
      <c r="U21" s="10">
        <v>256</v>
      </c>
      <c r="V21" s="10">
        <v>601</v>
      </c>
      <c r="W21" s="10">
        <v>1969</v>
      </c>
      <c r="X21" s="10">
        <v>2300</v>
      </c>
      <c r="Y21" s="10">
        <v>1964</v>
      </c>
      <c r="Z21" s="10">
        <v>1776</v>
      </c>
      <c r="AA21" s="10">
        <v>768</v>
      </c>
      <c r="AB21" s="10">
        <v>3698</v>
      </c>
      <c r="AC21" s="10">
        <v>1804</v>
      </c>
      <c r="AD21" s="10">
        <v>710</v>
      </c>
      <c r="AE21" s="10">
        <v>0</v>
      </c>
      <c r="AF21" s="10">
        <v>419</v>
      </c>
      <c r="AG21" s="10">
        <v>0</v>
      </c>
      <c r="AH21" s="10">
        <v>877</v>
      </c>
      <c r="AI21" s="10">
        <v>211</v>
      </c>
      <c r="AJ21" s="10">
        <v>724</v>
      </c>
      <c r="AK21" s="10">
        <v>614</v>
      </c>
      <c r="AL21" s="10">
        <v>163</v>
      </c>
      <c r="AM21" s="10">
        <v>239</v>
      </c>
      <c r="AN21" s="10">
        <v>402</v>
      </c>
      <c r="AO21" s="10">
        <v>403</v>
      </c>
      <c r="AP21" s="10">
        <v>786</v>
      </c>
      <c r="AQ21" s="10">
        <v>460</v>
      </c>
      <c r="AR21" s="10">
        <v>94</v>
      </c>
      <c r="AS21" s="10">
        <v>464</v>
      </c>
      <c r="AT21" s="10">
        <v>200</v>
      </c>
      <c r="AU21" s="10">
        <v>522</v>
      </c>
      <c r="AV21" s="10">
        <v>2788</v>
      </c>
      <c r="AW21" s="10">
        <v>0</v>
      </c>
      <c r="AX21" s="10">
        <v>227</v>
      </c>
      <c r="AY21" s="10">
        <v>0</v>
      </c>
      <c r="AZ21" s="10">
        <v>0</v>
      </c>
      <c r="BA21" s="10">
        <v>0</v>
      </c>
      <c r="BB21" s="10">
        <v>0</v>
      </c>
      <c r="BC21" s="10">
        <v>202</v>
      </c>
      <c r="BD21" s="10">
        <v>62</v>
      </c>
      <c r="BE21" s="10">
        <v>72.5</v>
      </c>
      <c r="BF21" s="10">
        <v>0</v>
      </c>
      <c r="BG21" s="10">
        <v>0</v>
      </c>
      <c r="BH21" s="10">
        <v>91</v>
      </c>
      <c r="BI21" s="10">
        <v>40</v>
      </c>
      <c r="BJ21" s="10">
        <v>17</v>
      </c>
      <c r="BK21" s="10">
        <v>57</v>
      </c>
      <c r="BL21" s="10">
        <v>124.5</v>
      </c>
      <c r="BM21" s="10">
        <v>0</v>
      </c>
      <c r="BN21" s="10">
        <v>0</v>
      </c>
      <c r="BO21" s="10">
        <v>68</v>
      </c>
      <c r="BP21" s="10">
        <v>10</v>
      </c>
      <c r="BQ21" s="10"/>
      <c r="BR21" s="10"/>
      <c r="BS21" s="10"/>
      <c r="BT21" s="10">
        <f>SUM(C21:BP21)</f>
        <v>139086</v>
      </c>
      <c r="BU21" s="10">
        <f>SUM(D21+Q21+V21+W21+AB21+AE21+AG21+AO21+AQ21+AS21+AV21+AX21+BC21+BE21+BF21+BI21+BL21+BM21+BO21+BP21)</f>
        <v>30381</v>
      </c>
      <c r="BV21" s="10">
        <f>SUM(E21+G21+I21+K21+L21+N21+P21+R21+T21+Y21+AJ21+AK21+AU21)</f>
        <v>52075</v>
      </c>
      <c r="BW21" s="10">
        <f>SUM(C21+F21+H21+J21+M21+O21+S21+U21+AC21+AD21+AF21+AI21+AL21+AM21+AN21+AW21+AY21+AZ21+BA21+BD21+BG21+BN21)</f>
        <v>49664</v>
      </c>
      <c r="BX21" s="10">
        <f>SUM(BU21:BW21)</f>
        <v>132120</v>
      </c>
      <c r="BY21" s="10">
        <f>SUM(X21+Z21+AA21+AH21+AP21+AR21+AT21+BB21+BH21+BJ21+BK21)</f>
        <v>6966</v>
      </c>
      <c r="BZ21" s="10"/>
      <c r="CA21" s="10">
        <f>SUM(BX21:BY21)</f>
        <v>139086</v>
      </c>
    </row>
    <row r="22" spans="1:79" s="128" customFormat="1" ht="12.75">
      <c r="A22" s="100" t="s">
        <v>182</v>
      </c>
      <c r="B22" s="190">
        <v>12</v>
      </c>
      <c r="C22" s="10">
        <v>3344</v>
      </c>
      <c r="D22" s="10">
        <f>5936</f>
        <v>5936</v>
      </c>
      <c r="E22" s="10">
        <v>7237</v>
      </c>
      <c r="F22" s="10">
        <v>2637</v>
      </c>
      <c r="G22" s="10">
        <v>2512</v>
      </c>
      <c r="H22" s="10">
        <v>706</v>
      </c>
      <c r="I22" s="10">
        <v>1959</v>
      </c>
      <c r="J22" s="10">
        <v>1898</v>
      </c>
      <c r="K22" s="10">
        <v>1080</v>
      </c>
      <c r="L22" s="10">
        <v>281</v>
      </c>
      <c r="M22" s="10">
        <v>3455</v>
      </c>
      <c r="N22" s="10">
        <v>739</v>
      </c>
      <c r="O22" s="10">
        <v>109</v>
      </c>
      <c r="P22" s="10">
        <v>1030</v>
      </c>
      <c r="Q22" s="10">
        <v>292</v>
      </c>
      <c r="R22" s="10">
        <v>527</v>
      </c>
      <c r="S22" s="10">
        <v>80</v>
      </c>
      <c r="T22" s="10">
        <v>903</v>
      </c>
      <c r="U22" s="10">
        <v>68</v>
      </c>
      <c r="V22" s="10">
        <v>112</v>
      </c>
      <c r="W22" s="10">
        <v>333</v>
      </c>
      <c r="X22" s="10">
        <v>31</v>
      </c>
      <c r="Y22" s="10">
        <v>592</v>
      </c>
      <c r="Z22" s="10">
        <v>32</v>
      </c>
      <c r="AA22" s="10">
        <v>4</v>
      </c>
      <c r="AB22" s="10">
        <v>1281</v>
      </c>
      <c r="AC22" s="10">
        <v>490</v>
      </c>
      <c r="AD22" s="10">
        <v>340</v>
      </c>
      <c r="AE22" s="10">
        <v>183</v>
      </c>
      <c r="AF22" s="10">
        <v>103</v>
      </c>
      <c r="AG22" s="10">
        <v>83</v>
      </c>
      <c r="AH22" s="10">
        <v>14</v>
      </c>
      <c r="AI22" s="10">
        <v>88</v>
      </c>
      <c r="AJ22" s="10">
        <v>122</v>
      </c>
      <c r="AK22" s="10">
        <v>167</v>
      </c>
      <c r="AL22" s="10">
        <v>17</v>
      </c>
      <c r="AM22" s="10">
        <v>36</v>
      </c>
      <c r="AN22" s="10">
        <v>215</v>
      </c>
      <c r="AO22" s="10">
        <v>97</v>
      </c>
      <c r="AP22" s="10">
        <v>4</v>
      </c>
      <c r="AQ22" s="10">
        <v>136</v>
      </c>
      <c r="AR22" s="10">
        <v>13</v>
      </c>
      <c r="AS22" s="10">
        <v>164</v>
      </c>
      <c r="AT22" s="10">
        <v>11.5</v>
      </c>
      <c r="AU22" s="10">
        <v>145</v>
      </c>
      <c r="AV22" s="10">
        <v>0</v>
      </c>
      <c r="AW22" s="10">
        <v>202</v>
      </c>
      <c r="AX22" s="10">
        <v>93</v>
      </c>
      <c r="AY22" s="10">
        <v>76</v>
      </c>
      <c r="AZ22" s="10">
        <v>105</v>
      </c>
      <c r="BA22" s="10">
        <v>105</v>
      </c>
      <c r="BB22" s="10">
        <v>17</v>
      </c>
      <c r="BC22" s="10">
        <v>64</v>
      </c>
      <c r="BD22" s="10">
        <v>6</v>
      </c>
      <c r="BE22" s="10">
        <v>43</v>
      </c>
      <c r="BF22" s="10">
        <v>96</v>
      </c>
      <c r="BG22" s="10">
        <v>272</v>
      </c>
      <c r="BH22" s="10">
        <v>0</v>
      </c>
      <c r="BI22" s="10">
        <v>27</v>
      </c>
      <c r="BJ22" s="10">
        <v>7</v>
      </c>
      <c r="BK22" s="10">
        <v>1</v>
      </c>
      <c r="BL22" s="10">
        <v>101</v>
      </c>
      <c r="BM22" s="10">
        <v>18</v>
      </c>
      <c r="BN22" s="10">
        <v>4</v>
      </c>
      <c r="BO22" s="10">
        <v>173</v>
      </c>
      <c r="BP22" s="10">
        <v>28</v>
      </c>
      <c r="BQ22" s="10"/>
      <c r="BR22" s="10"/>
      <c r="BS22" s="10"/>
      <c r="BT22" s="10">
        <f>SUM(C22:BP22)</f>
        <v>41044.5</v>
      </c>
      <c r="BU22" s="10">
        <f>SUM(D22+Q22+V22+W22+AB22+AE22+AG22+AO22+AQ22+AS22+AV22+AX22+BC22+BE22+BF22+BI22+BL22+BM22+BO22+BP22)</f>
        <v>9260</v>
      </c>
      <c r="BV22" s="10">
        <f>SUM(E22+G22+I22+K22+L22+N22+P22+R22+T22+Y22+AJ22+AK22+AU22)</f>
        <v>17294</v>
      </c>
      <c r="BW22" s="10">
        <f>SUM(C22+F22+H22+J22+M22+O22+S22+U22+AC22+AD22+AF22+AI22+AL22+AM22+AN22+AW22+AY22+AZ22+BA22+BD22+BG22+BN22)</f>
        <v>14356</v>
      </c>
      <c r="BX22" s="10">
        <f>SUM(BU22:BW22)</f>
        <v>40910</v>
      </c>
      <c r="BY22" s="10">
        <f>SUM(X22+Z22+AA22+AH22+AP22+AR22+AT22+BB22+BH22+BJ22+BK22)</f>
        <v>134.5</v>
      </c>
      <c r="BZ22" s="10"/>
      <c r="CA22" s="10">
        <f>SUM(BX22:BY22)</f>
        <v>41044.5</v>
      </c>
    </row>
    <row r="23" spans="1:95" ht="12.75">
      <c r="A23" s="100" t="s">
        <v>183</v>
      </c>
      <c r="B23" s="190">
        <v>13</v>
      </c>
      <c r="C23" s="316">
        <v>16.6</v>
      </c>
      <c r="D23" s="316">
        <v>0</v>
      </c>
      <c r="E23" s="316">
        <v>13</v>
      </c>
      <c r="F23" s="316">
        <v>8</v>
      </c>
      <c r="G23" s="316">
        <v>11</v>
      </c>
      <c r="H23" s="316">
        <v>2.8</v>
      </c>
      <c r="I23" s="316">
        <v>4.1</v>
      </c>
      <c r="J23" s="316">
        <v>5</v>
      </c>
      <c r="K23" s="316">
        <v>7</v>
      </c>
      <c r="L23" s="316">
        <v>4.4</v>
      </c>
      <c r="M23" s="316">
        <v>3.5</v>
      </c>
      <c r="N23" s="316">
        <v>3</v>
      </c>
      <c r="O23" s="316">
        <v>2</v>
      </c>
      <c r="P23" s="316">
        <v>4.3</v>
      </c>
      <c r="Q23" s="316">
        <v>2</v>
      </c>
      <c r="R23" s="316">
        <v>3.5</v>
      </c>
      <c r="S23" s="316">
        <v>4</v>
      </c>
      <c r="T23" s="316">
        <v>2.7</v>
      </c>
      <c r="U23" s="316">
        <v>0</v>
      </c>
      <c r="V23" s="316">
        <v>0</v>
      </c>
      <c r="W23" s="316">
        <v>0</v>
      </c>
      <c r="X23" s="316">
        <v>0</v>
      </c>
      <c r="Y23" s="316">
        <v>2</v>
      </c>
      <c r="Z23" s="316">
        <v>0</v>
      </c>
      <c r="AA23" s="316">
        <v>0</v>
      </c>
      <c r="AB23" s="316">
        <v>1</v>
      </c>
      <c r="AC23" s="316">
        <v>2</v>
      </c>
      <c r="AD23" s="316">
        <v>1</v>
      </c>
      <c r="AE23" s="316">
        <v>0</v>
      </c>
      <c r="AF23" s="316">
        <v>1</v>
      </c>
      <c r="AG23" s="316">
        <v>0</v>
      </c>
      <c r="AH23" s="316">
        <v>0</v>
      </c>
      <c r="AI23" s="316">
        <v>0</v>
      </c>
      <c r="AJ23" s="316">
        <v>0</v>
      </c>
      <c r="AK23" s="316">
        <v>1</v>
      </c>
      <c r="AL23" s="316">
        <v>0</v>
      </c>
      <c r="AM23" s="316">
        <v>0</v>
      </c>
      <c r="AN23" s="316">
        <v>0.5</v>
      </c>
      <c r="AO23" s="316">
        <v>0.75</v>
      </c>
      <c r="AP23" s="316">
        <v>0</v>
      </c>
      <c r="AQ23" s="316">
        <v>0</v>
      </c>
      <c r="AR23" s="316">
        <v>0</v>
      </c>
      <c r="AS23" s="316">
        <v>0.5</v>
      </c>
      <c r="AT23" s="316">
        <v>0</v>
      </c>
      <c r="AU23" s="316">
        <v>0</v>
      </c>
      <c r="AV23" s="316">
        <v>0</v>
      </c>
      <c r="AW23" s="316">
        <v>0</v>
      </c>
      <c r="AX23" s="316">
        <v>0</v>
      </c>
      <c r="AY23" s="316">
        <v>0</v>
      </c>
      <c r="AZ23" s="316">
        <v>0</v>
      </c>
      <c r="BA23" s="316">
        <v>0.46</v>
      </c>
      <c r="BB23" s="316">
        <v>0</v>
      </c>
      <c r="BC23" s="316">
        <v>0</v>
      </c>
      <c r="BD23" s="316">
        <v>0</v>
      </c>
      <c r="BE23" s="316">
        <v>0</v>
      </c>
      <c r="BF23" s="316">
        <v>0</v>
      </c>
      <c r="BG23" s="316">
        <v>1</v>
      </c>
      <c r="BH23" s="316">
        <v>0</v>
      </c>
      <c r="BI23" s="316">
        <v>0</v>
      </c>
      <c r="BJ23" s="316">
        <v>0</v>
      </c>
      <c r="BK23" s="316">
        <v>0</v>
      </c>
      <c r="BL23" s="316">
        <v>0</v>
      </c>
      <c r="BM23" s="316">
        <v>0</v>
      </c>
      <c r="BN23" s="316">
        <v>0</v>
      </c>
      <c r="BO23" s="316">
        <v>0</v>
      </c>
      <c r="BP23" s="316">
        <v>0</v>
      </c>
      <c r="BQ23" s="316"/>
      <c r="BR23" s="316"/>
      <c r="BS23" s="316"/>
      <c r="BT23" s="316">
        <f>SUM(C23:BP23)</f>
        <v>108.11</v>
      </c>
      <c r="BU23" s="10">
        <f>SUM(D23+Q23+V23+W23+AB23+AE23+AG23+AO23+AQ23+AS23+AV23+AX23+BC23+BE23+BF23+BI23+BL23+BM23+BO23+BP23)</f>
        <v>4.25</v>
      </c>
      <c r="BV23" s="316">
        <f>SUM(E23+G23+I23+K23+L23+N23+P23+R23+T23+Y23+AJ23+AK23+AU23)</f>
        <v>56</v>
      </c>
      <c r="BW23" s="316">
        <f>SUM(C23+F23+H23+J23+M23+O23+S23+U23+AC23+AD23+AF23+AI23+AL23+AM23+AN23+AW23+AY23+AZ23+BA23+BD23+BG23+BN23)</f>
        <v>47.86000000000001</v>
      </c>
      <c r="BX23" s="316">
        <f>SUM(BU23:BW23)</f>
        <v>108.11000000000001</v>
      </c>
      <c r="BY23" s="316">
        <f>SUM(X23+Z23+AA23+AH23+AP23+AR23+AT23+BB23+BH23+BJ23+BK23)</f>
        <v>0</v>
      </c>
      <c r="BZ23" s="316"/>
      <c r="CA23" s="316">
        <f>SUM(BX23:BY23)</f>
        <v>108.11000000000001</v>
      </c>
      <c r="CB23" s="317"/>
      <c r="CC23" s="317"/>
      <c r="CD23" s="317"/>
      <c r="CE23" s="317"/>
      <c r="CF23" s="317"/>
      <c r="CG23" s="317"/>
      <c r="CH23" s="317"/>
      <c r="CI23" s="317"/>
      <c r="CJ23" s="317"/>
      <c r="CK23" s="317"/>
      <c r="CL23" s="317"/>
      <c r="CM23" s="317"/>
      <c r="CN23" s="317"/>
      <c r="CO23" s="317"/>
      <c r="CP23" s="317"/>
      <c r="CQ23" s="317"/>
    </row>
    <row r="24" spans="1:79" ht="4.5" customHeight="1">
      <c r="A24" s="100"/>
      <c r="B24" s="19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</row>
    <row r="25" spans="1:89" ht="12.75">
      <c r="A25" s="100" t="s">
        <v>184</v>
      </c>
      <c r="B25" s="190"/>
      <c r="C25" s="316">
        <v>57.9</v>
      </c>
      <c r="D25" s="316">
        <v>69.6</v>
      </c>
      <c r="E25" s="316">
        <v>59</v>
      </c>
      <c r="F25" s="316">
        <v>38</v>
      </c>
      <c r="G25" s="316">
        <v>58.7</v>
      </c>
      <c r="H25" s="316">
        <v>44.84</v>
      </c>
      <c r="I25" s="316">
        <v>50.97</v>
      </c>
      <c r="J25" s="316">
        <v>69.48</v>
      </c>
      <c r="K25" s="316">
        <v>38.3</v>
      </c>
      <c r="L25" s="316">
        <v>37.3</v>
      </c>
      <c r="M25" s="316">
        <v>65.02</v>
      </c>
      <c r="N25" s="316">
        <v>38.3</v>
      </c>
      <c r="O25" s="316">
        <v>64.38</v>
      </c>
      <c r="P25" s="316">
        <v>43.8</v>
      </c>
      <c r="Q25" s="316">
        <v>73.1</v>
      </c>
      <c r="R25" s="316">
        <v>34.5</v>
      </c>
      <c r="S25" s="316">
        <v>78</v>
      </c>
      <c r="T25" s="316">
        <v>48.6</v>
      </c>
      <c r="U25" s="316">
        <v>69.29</v>
      </c>
      <c r="V25" s="316">
        <v>69.45</v>
      </c>
      <c r="W25" s="316">
        <v>89.7</v>
      </c>
      <c r="X25" s="316">
        <v>100</v>
      </c>
      <c r="Y25" s="316">
        <v>48.58</v>
      </c>
      <c r="Z25" s="316">
        <v>86.9</v>
      </c>
      <c r="AA25" s="316">
        <v>82.4</v>
      </c>
      <c r="AB25" s="316">
        <v>65.72</v>
      </c>
      <c r="AC25" s="316">
        <v>43.68</v>
      </c>
      <c r="AD25" s="316">
        <v>57</v>
      </c>
      <c r="AE25" s="316">
        <v>67.1</v>
      </c>
      <c r="AF25" s="316">
        <v>54.8</v>
      </c>
      <c r="AG25" s="316">
        <v>86.5</v>
      </c>
      <c r="AH25" s="316">
        <v>99.38</v>
      </c>
      <c r="AI25" s="316">
        <v>78.31</v>
      </c>
      <c r="AJ25" s="316">
        <f>36.6+4</f>
        <v>40.6</v>
      </c>
      <c r="AK25" s="316">
        <v>54.3</v>
      </c>
      <c r="AL25" s="316">
        <v>83.31</v>
      </c>
      <c r="AM25" s="316">
        <v>59.55</v>
      </c>
      <c r="AN25" s="316">
        <v>72.2</v>
      </c>
      <c r="AO25" s="316">
        <v>71.65</v>
      </c>
      <c r="AP25" s="316">
        <v>100</v>
      </c>
      <c r="AQ25" s="316">
        <v>73.6</v>
      </c>
      <c r="AR25" s="316">
        <v>100</v>
      </c>
      <c r="AS25" s="316">
        <v>62.73</v>
      </c>
      <c r="AT25" s="316">
        <v>59.03</v>
      </c>
      <c r="AU25" s="316">
        <v>37.4</v>
      </c>
      <c r="AV25" s="316">
        <v>0</v>
      </c>
      <c r="AW25" s="316">
        <v>75.9</v>
      </c>
      <c r="AX25" s="316">
        <v>57.3</v>
      </c>
      <c r="AY25" s="316">
        <v>73.2</v>
      </c>
      <c r="AZ25" s="316">
        <v>79.96</v>
      </c>
      <c r="BA25" s="316">
        <v>66</v>
      </c>
      <c r="BB25" s="316">
        <v>100</v>
      </c>
      <c r="BC25" s="316">
        <v>73.1</v>
      </c>
      <c r="BD25" s="316">
        <v>80.62</v>
      </c>
      <c r="BE25" s="316">
        <v>66</v>
      </c>
      <c r="BF25" s="316">
        <v>76.7</v>
      </c>
      <c r="BG25" s="316">
        <v>43.47</v>
      </c>
      <c r="BH25" s="316">
        <v>0</v>
      </c>
      <c r="BI25" s="316">
        <v>76.4</v>
      </c>
      <c r="BJ25" s="316">
        <v>48.24</v>
      </c>
      <c r="BK25" s="316">
        <v>100</v>
      </c>
      <c r="BL25" s="316">
        <v>57.5</v>
      </c>
      <c r="BM25" s="316">
        <v>60</v>
      </c>
      <c r="BN25" s="316">
        <v>100</v>
      </c>
      <c r="BO25" s="316">
        <v>46.45</v>
      </c>
      <c r="BP25" s="316">
        <v>52.98</v>
      </c>
      <c r="BQ25" s="316"/>
      <c r="BR25" s="316"/>
      <c r="BS25" s="316"/>
      <c r="BT25" s="316">
        <f>(BT63/BT67)*100</f>
        <v>61.552077886054036</v>
      </c>
      <c r="BU25" s="316">
        <f aca="true" t="shared" si="0" ref="BU25:CA25">(BU63/BU67)*100</f>
        <v>69.53709743909833</v>
      </c>
      <c r="BV25" s="316">
        <f t="shared" si="0"/>
        <v>51.980068256592716</v>
      </c>
      <c r="BW25" s="316">
        <f t="shared" si="0"/>
        <v>57.90338162676115</v>
      </c>
      <c r="BX25" s="316">
        <f t="shared" si="0"/>
        <v>61.31515843098042</v>
      </c>
      <c r="BY25" s="316">
        <f t="shared" si="0"/>
        <v>89.7366055949892</v>
      </c>
      <c r="BZ25" s="316"/>
      <c r="CA25" s="316">
        <f t="shared" si="0"/>
        <v>61.55207788605404</v>
      </c>
      <c r="CB25" s="317"/>
      <c r="CC25" s="317"/>
      <c r="CD25" s="317"/>
      <c r="CE25" s="317"/>
      <c r="CF25" s="317"/>
      <c r="CG25" s="317"/>
      <c r="CH25" s="317"/>
      <c r="CI25" s="317"/>
      <c r="CJ25" s="317"/>
      <c r="CK25" s="317"/>
    </row>
    <row r="26" spans="1:89" ht="12.75">
      <c r="A26" s="100" t="s">
        <v>185</v>
      </c>
      <c r="B26" s="190"/>
      <c r="C26" s="316">
        <v>26.6</v>
      </c>
      <c r="D26" s="316">
        <v>3.6</v>
      </c>
      <c r="E26" s="316">
        <v>31</v>
      </c>
      <c r="F26" s="316">
        <v>44</v>
      </c>
      <c r="G26" s="316">
        <v>20.6</v>
      </c>
      <c r="H26" s="316">
        <v>37.79</v>
      </c>
      <c r="I26" s="316">
        <v>34.43</v>
      </c>
      <c r="J26" s="316">
        <v>12.57</v>
      </c>
      <c r="K26" s="316">
        <v>45.5</v>
      </c>
      <c r="L26" s="316">
        <v>39.1</v>
      </c>
      <c r="M26" s="316">
        <v>22.64</v>
      </c>
      <c r="N26" s="316">
        <v>43.8</v>
      </c>
      <c r="O26" s="316">
        <v>14.58</v>
      </c>
      <c r="P26" s="316">
        <v>42.43</v>
      </c>
      <c r="Q26" s="316">
        <v>6.8</v>
      </c>
      <c r="R26" s="316">
        <v>48.1</v>
      </c>
      <c r="S26" s="316">
        <v>6</v>
      </c>
      <c r="T26" s="316">
        <v>38.1</v>
      </c>
      <c r="U26" s="316">
        <v>19.11</v>
      </c>
      <c r="V26" s="316">
        <v>1.78</v>
      </c>
      <c r="W26" s="316">
        <v>8.6</v>
      </c>
      <c r="X26" s="316">
        <v>0</v>
      </c>
      <c r="Y26" s="316">
        <v>37.61</v>
      </c>
      <c r="Z26" s="316">
        <v>6</v>
      </c>
      <c r="AA26" s="316">
        <v>7.3</v>
      </c>
      <c r="AB26" s="316">
        <v>5.93</v>
      </c>
      <c r="AC26" s="316">
        <v>38.36</v>
      </c>
      <c r="AD26" s="316">
        <v>21</v>
      </c>
      <c r="AE26" s="316">
        <v>9.2</v>
      </c>
      <c r="AF26" s="316">
        <v>20</v>
      </c>
      <c r="AG26" s="316">
        <v>1.2</v>
      </c>
      <c r="AH26" s="316">
        <v>0.62</v>
      </c>
      <c r="AI26" s="316">
        <v>0.19</v>
      </c>
      <c r="AJ26" s="316">
        <v>42.8</v>
      </c>
      <c r="AK26" s="316">
        <v>32.8</v>
      </c>
      <c r="AL26" s="316">
        <v>8.8</v>
      </c>
      <c r="AM26" s="316">
        <v>14.71</v>
      </c>
      <c r="AN26" s="316">
        <v>11.6</v>
      </c>
      <c r="AO26" s="316">
        <v>4.1</v>
      </c>
      <c r="AP26" s="316">
        <v>0</v>
      </c>
      <c r="AQ26" s="316">
        <v>7.4</v>
      </c>
      <c r="AR26" s="316">
        <v>0</v>
      </c>
      <c r="AS26" s="316">
        <v>7.06</v>
      </c>
      <c r="AT26" s="316">
        <v>13.14</v>
      </c>
      <c r="AU26" s="316">
        <v>48</v>
      </c>
      <c r="AV26" s="316">
        <v>0</v>
      </c>
      <c r="AW26" s="316">
        <v>18.8</v>
      </c>
      <c r="AX26" s="316">
        <v>21.3</v>
      </c>
      <c r="AY26" s="316">
        <v>0.3</v>
      </c>
      <c r="AZ26" s="316">
        <v>3.01</v>
      </c>
      <c r="BA26" s="316">
        <v>13</v>
      </c>
      <c r="BB26" s="316">
        <v>0</v>
      </c>
      <c r="BC26" s="316">
        <v>2.7</v>
      </c>
      <c r="BD26" s="316">
        <v>18.23</v>
      </c>
      <c r="BE26" s="316">
        <v>7</v>
      </c>
      <c r="BF26" s="316">
        <v>3.4</v>
      </c>
      <c r="BG26" s="316">
        <v>28.85</v>
      </c>
      <c r="BH26" s="316">
        <v>0</v>
      </c>
      <c r="BI26" s="316">
        <v>7.6</v>
      </c>
      <c r="BJ26" s="316">
        <v>0</v>
      </c>
      <c r="BK26" s="316">
        <v>0</v>
      </c>
      <c r="BL26" s="316">
        <v>8.7</v>
      </c>
      <c r="BM26" s="316">
        <v>0</v>
      </c>
      <c r="BN26" s="316">
        <v>0</v>
      </c>
      <c r="BO26" s="316">
        <v>4.55</v>
      </c>
      <c r="BP26" s="316">
        <v>0</v>
      </c>
      <c r="BQ26" s="316"/>
      <c r="BR26" s="316"/>
      <c r="BS26" s="316"/>
      <c r="BT26" s="316">
        <f>(BT64/BT67)*100</f>
        <v>18.3822555803158</v>
      </c>
      <c r="BU26" s="316">
        <f aca="true" t="shared" si="1" ref="BU26:CA26">(BU64/BU67)*100</f>
        <v>4.461733010556507</v>
      </c>
      <c r="BV26" s="316">
        <f t="shared" si="1"/>
        <v>33.208775738138165</v>
      </c>
      <c r="BW26" s="316">
        <f t="shared" si="1"/>
        <v>25.602281349385418</v>
      </c>
      <c r="BX26" s="316">
        <f t="shared" si="1"/>
        <v>18.513361495723274</v>
      </c>
      <c r="BY26" s="316">
        <f t="shared" si="1"/>
        <v>2.785569759563196</v>
      </c>
      <c r="BZ26" s="316"/>
      <c r="CA26" s="316">
        <f t="shared" si="1"/>
        <v>18.382255580315796</v>
      </c>
      <c r="CB26" s="317"/>
      <c r="CC26" s="317"/>
      <c r="CD26" s="317"/>
      <c r="CE26" s="317"/>
      <c r="CF26" s="317"/>
      <c r="CG26" s="317"/>
      <c r="CH26" s="317"/>
      <c r="CI26" s="317"/>
      <c r="CJ26" s="317"/>
      <c r="CK26" s="317"/>
    </row>
    <row r="27" spans="1:89" ht="12.75">
      <c r="A27" s="100" t="s">
        <v>186</v>
      </c>
      <c r="B27" s="190"/>
      <c r="C27" s="316">
        <v>13</v>
      </c>
      <c r="D27" s="316">
        <v>26.4</v>
      </c>
      <c r="E27" s="316">
        <v>8</v>
      </c>
      <c r="F27" s="316">
        <v>13</v>
      </c>
      <c r="G27" s="316">
        <v>17.8</v>
      </c>
      <c r="H27" s="316">
        <v>13.49</v>
      </c>
      <c r="I27" s="316">
        <v>10.9</v>
      </c>
      <c r="J27" s="316">
        <v>17.55</v>
      </c>
      <c r="K27" s="316">
        <v>12.3</v>
      </c>
      <c r="L27" s="316">
        <v>20</v>
      </c>
      <c r="M27" s="316">
        <v>8.92</v>
      </c>
      <c r="N27" s="316">
        <v>13.1</v>
      </c>
      <c r="O27" s="316">
        <v>20.31</v>
      </c>
      <c r="P27" s="316">
        <v>9.99</v>
      </c>
      <c r="Q27" s="316">
        <v>19.9</v>
      </c>
      <c r="R27" s="316">
        <v>13.4</v>
      </c>
      <c r="S27" s="316">
        <v>15</v>
      </c>
      <c r="T27" s="316">
        <v>9.8</v>
      </c>
      <c r="U27" s="316">
        <v>10.91</v>
      </c>
      <c r="V27" s="316">
        <v>28.46</v>
      </c>
      <c r="W27" s="316">
        <v>1</v>
      </c>
      <c r="X27" s="316">
        <v>0</v>
      </c>
      <c r="Y27" s="316">
        <v>9.42</v>
      </c>
      <c r="Z27" s="316">
        <v>6.9</v>
      </c>
      <c r="AA27" s="316">
        <v>10.3</v>
      </c>
      <c r="AB27" s="316">
        <v>28.17</v>
      </c>
      <c r="AC27" s="316">
        <v>12.53</v>
      </c>
      <c r="AD27" s="316">
        <v>20.9</v>
      </c>
      <c r="AE27" s="316">
        <v>23.2</v>
      </c>
      <c r="AF27" s="316">
        <v>23.8</v>
      </c>
      <c r="AG27" s="316">
        <v>12.2</v>
      </c>
      <c r="AH27" s="316">
        <v>0</v>
      </c>
      <c r="AI27" s="316">
        <v>21.25</v>
      </c>
      <c r="AJ27" s="316">
        <v>13.4</v>
      </c>
      <c r="AK27" s="316">
        <v>10.3</v>
      </c>
      <c r="AL27" s="316">
        <v>7.89</v>
      </c>
      <c r="AM27" s="316">
        <v>25.24</v>
      </c>
      <c r="AN27" s="316">
        <v>16.1</v>
      </c>
      <c r="AO27" s="316">
        <v>24.25</v>
      </c>
      <c r="AP27" s="316">
        <v>0</v>
      </c>
      <c r="AQ27" s="316">
        <v>18.3</v>
      </c>
      <c r="AR27" s="316">
        <v>0</v>
      </c>
      <c r="AS27" s="316">
        <v>29.8</v>
      </c>
      <c r="AT27" s="316">
        <v>23.58</v>
      </c>
      <c r="AU27" s="316">
        <v>10.6</v>
      </c>
      <c r="AV27" s="316">
        <v>0</v>
      </c>
      <c r="AW27" s="316">
        <v>5</v>
      </c>
      <c r="AX27" s="316">
        <v>21.2</v>
      </c>
      <c r="AY27" s="316">
        <v>25.5</v>
      </c>
      <c r="AZ27" s="316">
        <v>17.03</v>
      </c>
      <c r="BA27" s="316">
        <v>21</v>
      </c>
      <c r="BB27" s="316">
        <v>0</v>
      </c>
      <c r="BC27" s="316">
        <v>23.9</v>
      </c>
      <c r="BD27" s="316">
        <v>1.15</v>
      </c>
      <c r="BE27" s="316">
        <v>25</v>
      </c>
      <c r="BF27" s="316">
        <v>19.6</v>
      </c>
      <c r="BG27" s="316">
        <v>20.79</v>
      </c>
      <c r="BH27" s="316">
        <v>0</v>
      </c>
      <c r="BI27" s="316">
        <v>16</v>
      </c>
      <c r="BJ27" s="316">
        <v>51.76</v>
      </c>
      <c r="BK27" s="316">
        <v>0</v>
      </c>
      <c r="BL27" s="316">
        <v>33.04</v>
      </c>
      <c r="BM27" s="316">
        <v>40</v>
      </c>
      <c r="BN27" s="316">
        <v>0</v>
      </c>
      <c r="BO27" s="316">
        <v>48.7</v>
      </c>
      <c r="BP27" s="316">
        <v>47.02</v>
      </c>
      <c r="BQ27" s="316"/>
      <c r="BR27" s="316"/>
      <c r="BS27" s="316"/>
      <c r="BT27" s="316">
        <f>(BT65/BT67)*100</f>
        <v>18.32872945177247</v>
      </c>
      <c r="BU27" s="316">
        <f aca="true" t="shared" si="2" ref="BU27:CA27">(BU65/BU67)*100</f>
        <v>25.628439246518003</v>
      </c>
      <c r="BV27" s="316">
        <f t="shared" si="2"/>
        <v>11.774465339598667</v>
      </c>
      <c r="BW27" s="316">
        <f t="shared" si="2"/>
        <v>13.899540697213004</v>
      </c>
      <c r="BX27" s="316">
        <f t="shared" si="2"/>
        <v>18.422503523404743</v>
      </c>
      <c r="BY27" s="316">
        <f t="shared" si="2"/>
        <v>7.173132628885394</v>
      </c>
      <c r="BZ27" s="316"/>
      <c r="CA27" s="316">
        <f t="shared" si="2"/>
        <v>18.328729451772467</v>
      </c>
      <c r="CB27" s="317"/>
      <c r="CC27" s="317"/>
      <c r="CD27" s="317"/>
      <c r="CE27" s="317"/>
      <c r="CF27" s="317"/>
      <c r="CG27" s="317"/>
      <c r="CH27" s="317"/>
      <c r="CI27" s="317"/>
      <c r="CJ27" s="317"/>
      <c r="CK27" s="317"/>
    </row>
    <row r="28" spans="1:89" ht="12.75">
      <c r="A28" s="100" t="s">
        <v>187</v>
      </c>
      <c r="B28" s="190"/>
      <c r="C28" s="316">
        <v>2.5</v>
      </c>
      <c r="D28" s="316">
        <v>0.4</v>
      </c>
      <c r="E28" s="316">
        <v>2</v>
      </c>
      <c r="F28" s="316">
        <v>5</v>
      </c>
      <c r="G28" s="316">
        <v>2.9</v>
      </c>
      <c r="H28" s="316">
        <v>3.88</v>
      </c>
      <c r="I28" s="316">
        <v>3.67</v>
      </c>
      <c r="J28" s="316">
        <v>0.4</v>
      </c>
      <c r="K28" s="316">
        <v>3.9</v>
      </c>
      <c r="L28" s="316">
        <v>3.6</v>
      </c>
      <c r="M28" s="316">
        <v>3.42</v>
      </c>
      <c r="N28" s="316">
        <v>4.8</v>
      </c>
      <c r="O28" s="316">
        <v>0.73</v>
      </c>
      <c r="P28" s="316">
        <v>3.78</v>
      </c>
      <c r="Q28" s="316">
        <v>0.2</v>
      </c>
      <c r="R28" s="316">
        <v>4</v>
      </c>
      <c r="S28" s="316">
        <v>1</v>
      </c>
      <c r="T28" s="316">
        <v>3.5</v>
      </c>
      <c r="U28" s="316">
        <v>0.66</v>
      </c>
      <c r="V28" s="316">
        <v>0.3</v>
      </c>
      <c r="W28" s="316">
        <v>0.7</v>
      </c>
      <c r="X28" s="316">
        <v>0</v>
      </c>
      <c r="Y28" s="316">
        <v>4.39</v>
      </c>
      <c r="Z28" s="316">
        <v>0.2</v>
      </c>
      <c r="AA28" s="316">
        <v>0</v>
      </c>
      <c r="AB28" s="316">
        <v>0.17</v>
      </c>
      <c r="AC28" s="316">
        <v>5.44</v>
      </c>
      <c r="AD28" s="316">
        <v>1.1</v>
      </c>
      <c r="AE28" s="316">
        <v>0.5</v>
      </c>
      <c r="AF28" s="316">
        <v>1.4</v>
      </c>
      <c r="AG28" s="316">
        <v>0.09</v>
      </c>
      <c r="AH28" s="316">
        <v>0</v>
      </c>
      <c r="AI28" s="316">
        <v>0.26</v>
      </c>
      <c r="AJ28" s="316">
        <v>3.2</v>
      </c>
      <c r="AK28" s="316">
        <v>2.6</v>
      </c>
      <c r="AL28" s="316">
        <v>0</v>
      </c>
      <c r="AM28" s="316">
        <v>0.5</v>
      </c>
      <c r="AN28" s="316">
        <v>0.1</v>
      </c>
      <c r="AO28" s="316">
        <v>0</v>
      </c>
      <c r="AP28" s="316">
        <v>0</v>
      </c>
      <c r="AQ28" s="316">
        <v>0.7</v>
      </c>
      <c r="AR28" s="316">
        <v>0</v>
      </c>
      <c r="AS28" s="316">
        <v>0.45</v>
      </c>
      <c r="AT28" s="316">
        <v>4.24</v>
      </c>
      <c r="AU28" s="316">
        <v>4</v>
      </c>
      <c r="AV28" s="316">
        <v>0</v>
      </c>
      <c r="AW28" s="316">
        <v>0.3</v>
      </c>
      <c r="AX28" s="316">
        <v>0.2</v>
      </c>
      <c r="AY28" s="316">
        <v>1.02</v>
      </c>
      <c r="AZ28" s="316">
        <v>0</v>
      </c>
      <c r="BA28" s="316">
        <v>0</v>
      </c>
      <c r="BB28" s="316">
        <v>0</v>
      </c>
      <c r="BC28" s="316">
        <v>0.3</v>
      </c>
      <c r="BD28" s="316">
        <v>0</v>
      </c>
      <c r="BE28" s="316">
        <v>2</v>
      </c>
      <c r="BF28" s="316">
        <v>0.3</v>
      </c>
      <c r="BG28" s="316">
        <v>6.87</v>
      </c>
      <c r="BH28" s="316">
        <v>0</v>
      </c>
      <c r="BI28" s="316">
        <v>0</v>
      </c>
      <c r="BJ28" s="316">
        <v>0</v>
      </c>
      <c r="BK28" s="316">
        <v>0</v>
      </c>
      <c r="BL28" s="316">
        <v>0.75</v>
      </c>
      <c r="BM28" s="316">
        <v>0</v>
      </c>
      <c r="BN28" s="316">
        <v>0</v>
      </c>
      <c r="BO28" s="316">
        <v>0.3</v>
      </c>
      <c r="BP28" s="316">
        <v>0</v>
      </c>
      <c r="BQ28" s="316"/>
      <c r="BR28" s="316"/>
      <c r="BS28" s="316"/>
      <c r="BT28" s="316">
        <f>(BT66/BT67)*100</f>
        <v>1.736937081857688</v>
      </c>
      <c r="BU28" s="316">
        <f aca="true" t="shared" si="3" ref="BU28:CA28">(BU66/BU67)*100</f>
        <v>0.37273030382715383</v>
      </c>
      <c r="BV28" s="316">
        <f t="shared" si="3"/>
        <v>3.0366906656704535</v>
      </c>
      <c r="BW28" s="316">
        <f t="shared" si="3"/>
        <v>2.594796326640431</v>
      </c>
      <c r="BX28" s="316">
        <f t="shared" si="3"/>
        <v>1.748976549891567</v>
      </c>
      <c r="BY28" s="316">
        <f t="shared" si="3"/>
        <v>0.30469201656220735</v>
      </c>
      <c r="BZ28" s="316"/>
      <c r="CA28" s="316">
        <f t="shared" si="3"/>
        <v>1.736937081857688</v>
      </c>
      <c r="CB28" s="317"/>
      <c r="CC28" s="317"/>
      <c r="CD28" s="317"/>
      <c r="CE28" s="317"/>
      <c r="CF28" s="317"/>
      <c r="CG28" s="317"/>
      <c r="CH28" s="317"/>
      <c r="CI28" s="317"/>
      <c r="CJ28" s="317"/>
      <c r="CK28" s="317"/>
    </row>
    <row r="29" spans="1:79" ht="12.75">
      <c r="A29" s="98" t="s">
        <v>188</v>
      </c>
      <c r="B29" s="190">
        <v>14</v>
      </c>
      <c r="C29" s="92">
        <f>SUM(C25:C28)</f>
        <v>100</v>
      </c>
      <c r="D29" s="92">
        <f>SUM(D25:D28)</f>
        <v>100</v>
      </c>
      <c r="E29" s="92">
        <f>SUM(E25:E28)</f>
        <v>100</v>
      </c>
      <c r="F29" s="92">
        <f aca="true" t="shared" si="4" ref="F29:N29">SUM(F25:F28)</f>
        <v>100</v>
      </c>
      <c r="G29" s="92">
        <f t="shared" si="4"/>
        <v>100.00000000000001</v>
      </c>
      <c r="H29" s="92">
        <f t="shared" si="4"/>
        <v>99.99999999999999</v>
      </c>
      <c r="I29" s="92">
        <f t="shared" si="4"/>
        <v>99.97000000000001</v>
      </c>
      <c r="J29" s="92">
        <f t="shared" si="4"/>
        <v>100.00000000000001</v>
      </c>
      <c r="K29" s="92">
        <f>SUM(K25:K28)</f>
        <v>100</v>
      </c>
      <c r="L29" s="92">
        <f>SUM(L25:L28)</f>
        <v>100</v>
      </c>
      <c r="M29" s="92">
        <f t="shared" si="4"/>
        <v>100</v>
      </c>
      <c r="N29" s="92">
        <f t="shared" si="4"/>
        <v>99.99999999999999</v>
      </c>
      <c r="O29" s="92">
        <f aca="true" t="shared" si="5" ref="O29:V29">SUM(O25:O28)</f>
        <v>100</v>
      </c>
      <c r="P29" s="92">
        <f t="shared" si="5"/>
        <v>99.99999999999999</v>
      </c>
      <c r="Q29" s="92">
        <f t="shared" si="5"/>
        <v>99.99999999999999</v>
      </c>
      <c r="R29" s="92">
        <f t="shared" si="5"/>
        <v>100</v>
      </c>
      <c r="S29" s="92">
        <f t="shared" si="5"/>
        <v>100</v>
      </c>
      <c r="T29" s="92">
        <f t="shared" si="5"/>
        <v>100</v>
      </c>
      <c r="U29" s="92">
        <f t="shared" si="5"/>
        <v>99.97</v>
      </c>
      <c r="V29" s="92">
        <f t="shared" si="5"/>
        <v>99.99</v>
      </c>
      <c r="W29" s="92">
        <f aca="true" t="shared" si="6" ref="W29:AD29">SUM(W25:W28)</f>
        <v>100</v>
      </c>
      <c r="X29" s="92">
        <f t="shared" si="6"/>
        <v>100</v>
      </c>
      <c r="Y29" s="92">
        <f t="shared" si="6"/>
        <v>100</v>
      </c>
      <c r="Z29" s="92">
        <f>SUM(Z25:Z28)</f>
        <v>100.00000000000001</v>
      </c>
      <c r="AA29" s="92">
        <f>SUM(AA25:AA28)</f>
        <v>100</v>
      </c>
      <c r="AB29" s="92">
        <f>SUM(AB25:AB28)</f>
        <v>99.99000000000001</v>
      </c>
      <c r="AC29" s="92">
        <f>SUM(AC25:AC28)</f>
        <v>100.00999999999999</v>
      </c>
      <c r="AD29" s="92">
        <f t="shared" si="6"/>
        <v>100</v>
      </c>
      <c r="AE29" s="92">
        <f aca="true" t="shared" si="7" ref="AE29:BP29">SUM(AE25:AE28)</f>
        <v>100</v>
      </c>
      <c r="AF29" s="92">
        <f t="shared" si="7"/>
        <v>100</v>
      </c>
      <c r="AG29" s="92">
        <f t="shared" si="7"/>
        <v>99.99000000000001</v>
      </c>
      <c r="AH29" s="92">
        <f t="shared" si="7"/>
        <v>100</v>
      </c>
      <c r="AI29" s="92">
        <f t="shared" si="7"/>
        <v>100.01</v>
      </c>
      <c r="AJ29" s="92">
        <f t="shared" si="7"/>
        <v>100.00000000000001</v>
      </c>
      <c r="AK29" s="92">
        <f t="shared" si="7"/>
        <v>99.99999999999999</v>
      </c>
      <c r="AL29" s="92">
        <f t="shared" si="7"/>
        <v>100</v>
      </c>
      <c r="AM29" s="92">
        <f t="shared" si="7"/>
        <v>99.99999999999999</v>
      </c>
      <c r="AN29" s="92">
        <f t="shared" si="7"/>
        <v>100</v>
      </c>
      <c r="AO29" s="92">
        <f t="shared" si="7"/>
        <v>100</v>
      </c>
      <c r="AP29" s="92">
        <f t="shared" si="7"/>
        <v>100</v>
      </c>
      <c r="AQ29" s="92">
        <f t="shared" si="7"/>
        <v>100</v>
      </c>
      <c r="AR29" s="92">
        <f t="shared" si="7"/>
        <v>100</v>
      </c>
      <c r="AS29" s="92">
        <f t="shared" si="7"/>
        <v>100.03999999999999</v>
      </c>
      <c r="AT29" s="92">
        <f t="shared" si="7"/>
        <v>99.99</v>
      </c>
      <c r="AU29" s="92">
        <f t="shared" si="7"/>
        <v>100</v>
      </c>
      <c r="AV29" s="92">
        <f>SUM(AV25:AV28)</f>
        <v>0</v>
      </c>
      <c r="AW29" s="92">
        <f t="shared" si="7"/>
        <v>100</v>
      </c>
      <c r="AX29" s="92">
        <f t="shared" si="7"/>
        <v>100</v>
      </c>
      <c r="AY29" s="92">
        <f t="shared" si="7"/>
        <v>100.02</v>
      </c>
      <c r="AZ29" s="92">
        <f t="shared" si="7"/>
        <v>100</v>
      </c>
      <c r="BA29" s="92">
        <f t="shared" si="7"/>
        <v>100</v>
      </c>
      <c r="BB29" s="92">
        <f t="shared" si="7"/>
        <v>100</v>
      </c>
      <c r="BC29" s="92">
        <f t="shared" si="7"/>
        <v>99.99999999999999</v>
      </c>
      <c r="BD29" s="92">
        <f t="shared" si="7"/>
        <v>100.00000000000001</v>
      </c>
      <c r="BE29" s="92">
        <f t="shared" si="7"/>
        <v>100</v>
      </c>
      <c r="BF29" s="92">
        <f t="shared" si="7"/>
        <v>100.00000000000001</v>
      </c>
      <c r="BG29" s="92">
        <f>SUM(BG25:BG28)</f>
        <v>99.97999999999999</v>
      </c>
      <c r="BH29" s="92">
        <f t="shared" si="7"/>
        <v>0</v>
      </c>
      <c r="BI29" s="92">
        <f t="shared" si="7"/>
        <v>100</v>
      </c>
      <c r="BJ29" s="92">
        <f t="shared" si="7"/>
        <v>100</v>
      </c>
      <c r="BK29" s="92">
        <f t="shared" si="7"/>
        <v>100</v>
      </c>
      <c r="BL29" s="92">
        <f t="shared" si="7"/>
        <v>99.99000000000001</v>
      </c>
      <c r="BM29" s="92">
        <f t="shared" si="7"/>
        <v>100</v>
      </c>
      <c r="BN29" s="92">
        <f t="shared" si="7"/>
        <v>100</v>
      </c>
      <c r="BO29" s="92">
        <f t="shared" si="7"/>
        <v>100</v>
      </c>
      <c r="BP29" s="92">
        <f t="shared" si="7"/>
        <v>100</v>
      </c>
      <c r="BQ29" s="92"/>
      <c r="BR29" s="92"/>
      <c r="BS29" s="92"/>
      <c r="BT29" s="92">
        <f>SUM(BT25:BT28)</f>
        <v>100</v>
      </c>
      <c r="BU29" s="92">
        <f aca="true" t="shared" si="8" ref="BU29:CA29">SUM(BU25:BU28)</f>
        <v>99.99999999999999</v>
      </c>
      <c r="BV29" s="92">
        <f t="shared" si="8"/>
        <v>100</v>
      </c>
      <c r="BW29" s="92">
        <f t="shared" si="8"/>
        <v>100</v>
      </c>
      <c r="BX29" s="92">
        <f t="shared" si="8"/>
        <v>100</v>
      </c>
      <c r="BY29" s="92">
        <f t="shared" si="8"/>
        <v>100.00000000000001</v>
      </c>
      <c r="BZ29" s="92"/>
      <c r="CA29" s="92">
        <f t="shared" si="8"/>
        <v>100</v>
      </c>
    </row>
    <row r="30" spans="1:91" ht="12.75">
      <c r="A30" s="98"/>
      <c r="B30" s="98"/>
      <c r="C30" s="323" t="s">
        <v>175</v>
      </c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 t="s">
        <v>175</v>
      </c>
      <c r="AS30" s="323"/>
      <c r="AT30" s="323"/>
      <c r="AU30" s="323"/>
      <c r="AV30" s="323"/>
      <c r="AW30" s="323"/>
      <c r="AX30" s="323"/>
      <c r="AY30" s="323"/>
      <c r="AZ30" s="323"/>
      <c r="BA30" s="323"/>
      <c r="BB30" s="323"/>
      <c r="BC30" s="323"/>
      <c r="BD30" s="323"/>
      <c r="BE30" s="323"/>
      <c r="BF30" s="323"/>
      <c r="BG30" s="323"/>
      <c r="BH30" s="323"/>
      <c r="BI30" s="323"/>
      <c r="BJ30" s="323"/>
      <c r="BK30" s="323"/>
      <c r="BL30" s="323"/>
      <c r="BM30" s="323"/>
      <c r="BN30" s="323"/>
      <c r="BO30" s="323"/>
      <c r="BP30" s="323"/>
      <c r="BQ30" s="323"/>
      <c r="BR30" s="323"/>
      <c r="BS30" s="323"/>
      <c r="BT30" s="323"/>
      <c r="BU30" s="323"/>
      <c r="BV30" s="323"/>
      <c r="BW30" s="323" t="s">
        <v>175</v>
      </c>
      <c r="BX30" s="323"/>
      <c r="BY30" s="323"/>
      <c r="BZ30" s="323"/>
      <c r="CA30" s="323"/>
      <c r="CB30" s="321"/>
      <c r="CC30" s="321"/>
      <c r="CD30" s="321"/>
      <c r="CE30" s="321"/>
      <c r="CF30" s="321"/>
      <c r="CG30" s="321"/>
      <c r="CH30" s="321"/>
      <c r="CI30" s="321"/>
      <c r="CJ30" s="321"/>
      <c r="CK30" s="321"/>
      <c r="CL30" s="321"/>
      <c r="CM30" s="321"/>
    </row>
    <row r="31" spans="1:91" ht="11.25" customHeight="1">
      <c r="A31" s="102" t="s">
        <v>189</v>
      </c>
      <c r="B31" s="98"/>
      <c r="C31" s="321"/>
      <c r="D31" s="321"/>
      <c r="E31" s="321" t="s">
        <v>628</v>
      </c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 t="s">
        <v>628</v>
      </c>
      <c r="S31" s="321"/>
      <c r="T31" s="321"/>
      <c r="U31" s="321"/>
      <c r="V31" s="321" t="s">
        <v>193</v>
      </c>
      <c r="W31" s="321"/>
      <c r="X31" s="321" t="s">
        <v>479</v>
      </c>
      <c r="Y31" s="321" t="s">
        <v>175</v>
      </c>
      <c r="Z31" s="321" t="s">
        <v>479</v>
      </c>
      <c r="AA31" s="321" t="s">
        <v>479</v>
      </c>
      <c r="AB31" s="321"/>
      <c r="AC31" s="321"/>
      <c r="AD31" s="321"/>
      <c r="AE31" s="321" t="s">
        <v>190</v>
      </c>
      <c r="AF31" s="321"/>
      <c r="AG31" s="321"/>
      <c r="AH31" s="321" t="s">
        <v>479</v>
      </c>
      <c r="AI31" s="321" t="s">
        <v>674</v>
      </c>
      <c r="AJ31" s="321"/>
      <c r="AK31" s="321"/>
      <c r="AL31" s="321"/>
      <c r="AM31" s="321"/>
      <c r="AN31" s="321"/>
      <c r="AO31" s="321"/>
      <c r="AP31" s="321" t="s">
        <v>479</v>
      </c>
      <c r="AQ31" s="321"/>
      <c r="AR31" s="321" t="s">
        <v>479</v>
      </c>
      <c r="AS31" s="321"/>
      <c r="AT31" s="321" t="s">
        <v>479</v>
      </c>
      <c r="AU31" s="321"/>
      <c r="AV31" s="321"/>
      <c r="AW31" s="321" t="s">
        <v>190</v>
      </c>
      <c r="AX31" s="321"/>
      <c r="AY31" s="321" t="s">
        <v>465</v>
      </c>
      <c r="AZ31" s="321" t="s">
        <v>190</v>
      </c>
      <c r="BA31" s="321" t="s">
        <v>190</v>
      </c>
      <c r="BB31" s="321" t="s">
        <v>479</v>
      </c>
      <c r="BC31" s="321"/>
      <c r="BD31" s="321"/>
      <c r="BE31" s="321"/>
      <c r="BF31" s="321" t="s">
        <v>190</v>
      </c>
      <c r="BG31" s="321" t="s">
        <v>190</v>
      </c>
      <c r="BH31" s="321" t="s">
        <v>479</v>
      </c>
      <c r="BI31" s="321"/>
      <c r="BJ31" s="321" t="s">
        <v>479</v>
      </c>
      <c r="BK31" s="321" t="s">
        <v>479</v>
      </c>
      <c r="BL31" s="321"/>
      <c r="BM31" s="321" t="s">
        <v>190</v>
      </c>
      <c r="BN31" s="321" t="s">
        <v>190</v>
      </c>
      <c r="BO31" s="321"/>
      <c r="BP31" s="321"/>
      <c r="BQ31" s="321"/>
      <c r="BR31" s="321"/>
      <c r="BS31" s="321"/>
      <c r="BT31" s="321"/>
      <c r="BU31" s="321"/>
      <c r="BV31" s="321"/>
      <c r="BW31" s="321"/>
      <c r="BX31" s="321"/>
      <c r="BY31" s="321"/>
      <c r="BZ31" s="321"/>
      <c r="CA31" s="321"/>
      <c r="CB31" s="321"/>
      <c r="CC31" s="322"/>
      <c r="CD31" s="322"/>
      <c r="CE31" s="322"/>
      <c r="CF31" s="322"/>
      <c r="CG31" s="322"/>
      <c r="CH31" s="322"/>
      <c r="CI31" s="321"/>
      <c r="CJ31" s="321"/>
      <c r="CK31" s="321"/>
      <c r="CL31" s="321"/>
      <c r="CM31" s="321"/>
    </row>
    <row r="32" spans="1:91" s="222" customFormat="1" ht="11.25" customHeight="1">
      <c r="A32" s="188"/>
      <c r="B32" s="224"/>
      <c r="C32" s="321"/>
      <c r="D32" s="321"/>
      <c r="E32" s="321" t="s">
        <v>630</v>
      </c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 t="s">
        <v>673</v>
      </c>
      <c r="S32" s="321"/>
      <c r="T32" s="321"/>
      <c r="U32" s="321"/>
      <c r="V32" s="321" t="s">
        <v>194</v>
      </c>
      <c r="W32" s="321"/>
      <c r="X32" s="321"/>
      <c r="Y32" s="321"/>
      <c r="Z32" s="321"/>
      <c r="AA32" s="321"/>
      <c r="AB32" s="321"/>
      <c r="AC32" s="321"/>
      <c r="AD32" s="321"/>
      <c r="AE32" s="321" t="s">
        <v>191</v>
      </c>
      <c r="AF32" s="321"/>
      <c r="AG32" s="321"/>
      <c r="AH32" s="86"/>
      <c r="AI32" s="321" t="s">
        <v>672</v>
      </c>
      <c r="AJ32" s="321"/>
      <c r="AK32" s="321"/>
      <c r="AL32" s="321"/>
      <c r="AM32" s="321"/>
      <c r="AN32" s="321"/>
      <c r="AO32" s="321"/>
      <c r="AP32" s="321"/>
      <c r="AQ32" s="321"/>
      <c r="AR32" s="321"/>
      <c r="AS32" s="321"/>
      <c r="AT32" s="321"/>
      <c r="AU32" s="321"/>
      <c r="AV32" s="321"/>
      <c r="AW32" s="321" t="s">
        <v>191</v>
      </c>
      <c r="AX32" s="321"/>
      <c r="AY32" s="321" t="s">
        <v>192</v>
      </c>
      <c r="AZ32" s="321" t="s">
        <v>191</v>
      </c>
      <c r="BA32" s="321" t="s">
        <v>191</v>
      </c>
      <c r="BB32" s="321"/>
      <c r="BC32" s="321"/>
      <c r="BD32" s="321"/>
      <c r="BE32" s="321"/>
      <c r="BF32" s="321" t="s">
        <v>191</v>
      </c>
      <c r="BG32" s="321" t="s">
        <v>191</v>
      </c>
      <c r="BH32" s="321"/>
      <c r="BI32" s="321"/>
      <c r="BJ32" s="321"/>
      <c r="BK32" s="321"/>
      <c r="BL32" s="321"/>
      <c r="BM32" s="321" t="s">
        <v>191</v>
      </c>
      <c r="BN32" s="321" t="s">
        <v>191</v>
      </c>
      <c r="BO32" s="321"/>
      <c r="BP32" s="321"/>
      <c r="BQ32" s="321"/>
      <c r="BR32" s="321"/>
      <c r="BS32" s="321"/>
      <c r="BT32" s="321"/>
      <c r="BU32" s="321"/>
      <c r="BV32" s="321"/>
      <c r="BW32" s="321"/>
      <c r="BX32" s="321"/>
      <c r="BY32" s="321"/>
      <c r="BZ32" s="321"/>
      <c r="CA32" s="321"/>
      <c r="CB32" s="321"/>
      <c r="CC32" s="322"/>
      <c r="CD32" s="322"/>
      <c r="CE32" s="322"/>
      <c r="CF32" s="322"/>
      <c r="CG32" s="322"/>
      <c r="CH32" s="322"/>
      <c r="CI32" s="322"/>
      <c r="CJ32" s="322"/>
      <c r="CK32" s="322"/>
      <c r="CL32" s="322"/>
      <c r="CM32" s="322"/>
    </row>
    <row r="33" spans="1:91" s="222" customFormat="1" ht="11.25" customHeight="1">
      <c r="A33" s="188"/>
      <c r="B33" s="224"/>
      <c r="C33" s="321"/>
      <c r="D33" s="321"/>
      <c r="E33" s="321" t="s">
        <v>629</v>
      </c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 t="s">
        <v>195</v>
      </c>
      <c r="W33" s="321"/>
      <c r="X33" s="321"/>
      <c r="Y33" s="321"/>
      <c r="Z33" s="321" t="s">
        <v>193</v>
      </c>
      <c r="AA33" s="321"/>
      <c r="AB33" s="321"/>
      <c r="AC33" s="321"/>
      <c r="AD33" s="321"/>
      <c r="AE33" s="321" t="s">
        <v>192</v>
      </c>
      <c r="AF33" s="321"/>
      <c r="AG33" s="321"/>
      <c r="AH33" s="321" t="s">
        <v>193</v>
      </c>
      <c r="AJ33" s="321"/>
      <c r="AK33" s="321"/>
      <c r="AL33" s="321"/>
      <c r="AM33" s="321"/>
      <c r="AN33" s="321"/>
      <c r="AO33" s="321"/>
      <c r="AP33" s="321" t="s">
        <v>193</v>
      </c>
      <c r="AQ33" s="321"/>
      <c r="AR33" s="321"/>
      <c r="AS33" s="321"/>
      <c r="AT33" s="321"/>
      <c r="AU33" s="321"/>
      <c r="AV33" s="321"/>
      <c r="AW33" s="321" t="s">
        <v>192</v>
      </c>
      <c r="AX33" s="321"/>
      <c r="AY33" s="321" t="s">
        <v>194</v>
      </c>
      <c r="AZ33" s="321" t="s">
        <v>192</v>
      </c>
      <c r="BA33" s="321" t="s">
        <v>192</v>
      </c>
      <c r="BB33" s="321" t="s">
        <v>190</v>
      </c>
      <c r="BC33" s="321"/>
      <c r="BD33" s="321"/>
      <c r="BE33" s="321"/>
      <c r="BF33" s="321" t="s">
        <v>192</v>
      </c>
      <c r="BG33" s="321" t="s">
        <v>192</v>
      </c>
      <c r="BH33" s="321"/>
      <c r="BI33" s="321"/>
      <c r="BJ33" s="321"/>
      <c r="BK33" s="321" t="s">
        <v>464</v>
      </c>
      <c r="BL33" s="321"/>
      <c r="BM33" s="321" t="s">
        <v>192</v>
      </c>
      <c r="BN33" s="321" t="s">
        <v>192</v>
      </c>
      <c r="BO33" s="321"/>
      <c r="BP33" s="321"/>
      <c r="BQ33" s="321"/>
      <c r="BR33" s="321"/>
      <c r="BS33" s="321"/>
      <c r="BT33" s="321"/>
      <c r="BU33" s="321"/>
      <c r="BV33" s="321"/>
      <c r="BW33" s="321"/>
      <c r="BX33" s="321"/>
      <c r="BY33" s="321"/>
      <c r="BZ33" s="321"/>
      <c r="CA33" s="321"/>
      <c r="CB33" s="321"/>
      <c r="CC33" s="322"/>
      <c r="CD33" s="322"/>
      <c r="CE33" s="322"/>
      <c r="CF33" s="322"/>
      <c r="CG33" s="322"/>
      <c r="CH33" s="322"/>
      <c r="CI33" s="322"/>
      <c r="CJ33" s="322"/>
      <c r="CK33" s="322"/>
      <c r="CL33" s="322"/>
      <c r="CM33" s="322"/>
    </row>
    <row r="34" spans="1:91" s="222" customFormat="1" ht="11.25" customHeight="1">
      <c r="A34" s="188"/>
      <c r="B34" s="224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 t="s">
        <v>196</v>
      </c>
      <c r="W34" s="321"/>
      <c r="X34" s="321"/>
      <c r="Y34" s="321"/>
      <c r="Z34" s="321" t="s">
        <v>194</v>
      </c>
      <c r="AA34" s="321"/>
      <c r="AB34" s="321"/>
      <c r="AC34" s="321"/>
      <c r="AD34" s="321"/>
      <c r="AE34" s="321"/>
      <c r="AF34" s="321"/>
      <c r="AG34" s="321"/>
      <c r="AH34" s="321" t="s">
        <v>194</v>
      </c>
      <c r="AJ34" s="321" t="s">
        <v>175</v>
      </c>
      <c r="AK34" s="321"/>
      <c r="AL34" s="321"/>
      <c r="AM34" s="321"/>
      <c r="AN34" s="321"/>
      <c r="AO34" s="321"/>
      <c r="AP34" s="321" t="s">
        <v>194</v>
      </c>
      <c r="AQ34" s="321"/>
      <c r="AR34" s="321"/>
      <c r="AS34" s="321"/>
      <c r="AT34" s="321"/>
      <c r="AU34" s="321"/>
      <c r="AV34" s="321"/>
      <c r="AW34" s="321"/>
      <c r="AX34" s="321"/>
      <c r="AY34" s="321" t="s">
        <v>466</v>
      </c>
      <c r="AZ34" s="321"/>
      <c r="BA34" s="321"/>
      <c r="BB34" s="321" t="s">
        <v>191</v>
      </c>
      <c r="BC34" s="321"/>
      <c r="BD34" s="321"/>
      <c r="BE34" s="321"/>
      <c r="BF34" s="321"/>
      <c r="BG34" s="321"/>
      <c r="BH34" s="321"/>
      <c r="BI34" s="321"/>
      <c r="BJ34" s="321"/>
      <c r="BK34" s="321" t="s">
        <v>192</v>
      </c>
      <c r="BL34" s="321"/>
      <c r="BM34" s="321"/>
      <c r="BN34" s="321"/>
      <c r="BO34" s="321"/>
      <c r="BP34" s="321"/>
      <c r="BQ34" s="321"/>
      <c r="BR34" s="321"/>
      <c r="BS34" s="321"/>
      <c r="BT34" s="321"/>
      <c r="BU34" s="321"/>
      <c r="BV34" s="321"/>
      <c r="BW34" s="321"/>
      <c r="BX34" s="321"/>
      <c r="BY34" s="321"/>
      <c r="BZ34" s="321"/>
      <c r="CA34" s="321"/>
      <c r="CB34" s="321"/>
      <c r="CC34" s="322"/>
      <c r="CD34" s="322"/>
      <c r="CE34" s="322"/>
      <c r="CF34" s="322"/>
      <c r="CG34" s="322"/>
      <c r="CH34" s="322"/>
      <c r="CI34" s="322"/>
      <c r="CJ34" s="322"/>
      <c r="CK34" s="322"/>
      <c r="CL34" s="322"/>
      <c r="CM34" s="322"/>
    </row>
    <row r="35" spans="1:91" s="222" customFormat="1" ht="11.25" customHeight="1">
      <c r="A35" s="188"/>
      <c r="B35" s="224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 t="s">
        <v>195</v>
      </c>
      <c r="AA35" s="321"/>
      <c r="AB35" s="321"/>
      <c r="AC35" s="321"/>
      <c r="AD35" s="321"/>
      <c r="AE35" s="321"/>
      <c r="AF35" s="321"/>
      <c r="AG35" s="321"/>
      <c r="AH35" s="321" t="s">
        <v>195</v>
      </c>
      <c r="AI35" s="321"/>
      <c r="AJ35" s="321"/>
      <c r="AK35" s="321"/>
      <c r="AL35" s="321"/>
      <c r="AM35" s="321"/>
      <c r="AN35" s="321"/>
      <c r="AO35" s="321"/>
      <c r="AP35" s="321" t="s">
        <v>195</v>
      </c>
      <c r="AQ35" s="321"/>
      <c r="AR35" s="321"/>
      <c r="AS35" s="321"/>
      <c r="AT35" s="321"/>
      <c r="AU35" s="321"/>
      <c r="AV35" s="321"/>
      <c r="AW35" s="321"/>
      <c r="AX35" s="321"/>
      <c r="AY35" s="321" t="s">
        <v>467</v>
      </c>
      <c r="AZ35" s="321"/>
      <c r="BA35" s="321"/>
      <c r="BB35" s="321" t="s">
        <v>192</v>
      </c>
      <c r="BC35" s="321"/>
      <c r="BD35" s="321"/>
      <c r="BE35" s="321"/>
      <c r="BF35" s="321"/>
      <c r="BG35" s="321"/>
      <c r="BH35" s="321"/>
      <c r="BI35" s="321"/>
      <c r="BJ35" s="321"/>
      <c r="BK35" s="321" t="s">
        <v>194</v>
      </c>
      <c r="BL35" s="321"/>
      <c r="BM35" s="321"/>
      <c r="BN35" s="321"/>
      <c r="BO35" s="321"/>
      <c r="BP35" s="321"/>
      <c r="BQ35" s="321"/>
      <c r="BR35" s="321"/>
      <c r="BS35" s="321"/>
      <c r="BT35" s="321"/>
      <c r="BU35" s="321"/>
      <c r="BV35" s="321"/>
      <c r="BW35" s="321"/>
      <c r="BX35" s="321"/>
      <c r="BY35" s="321"/>
      <c r="BZ35" s="321"/>
      <c r="CA35" s="321"/>
      <c r="CB35" s="321"/>
      <c r="CC35" s="322"/>
      <c r="CD35" s="322"/>
      <c r="CE35" s="322"/>
      <c r="CF35" s="322"/>
      <c r="CG35" s="322"/>
      <c r="CH35" s="322"/>
      <c r="CI35" s="322"/>
      <c r="CJ35" s="322"/>
      <c r="CK35" s="322"/>
      <c r="CL35" s="322"/>
      <c r="CM35" s="322"/>
    </row>
    <row r="36" spans="1:80" s="322" customFormat="1" ht="11.25" customHeight="1">
      <c r="A36" s="324"/>
      <c r="B36" s="325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 t="s">
        <v>196</v>
      </c>
      <c r="AA36" s="326"/>
      <c r="AB36" s="326"/>
      <c r="AC36" s="326"/>
      <c r="AD36" s="326"/>
      <c r="AE36" s="326"/>
      <c r="AF36" s="326"/>
      <c r="AG36" s="326"/>
      <c r="AH36" s="326" t="s">
        <v>196</v>
      </c>
      <c r="AI36" s="326"/>
      <c r="AJ36" s="326"/>
      <c r="AK36" s="326"/>
      <c r="AL36" s="326"/>
      <c r="AM36" s="326"/>
      <c r="AN36" s="326"/>
      <c r="AO36" s="326"/>
      <c r="AP36" s="326" t="s">
        <v>196</v>
      </c>
      <c r="AQ36" s="326"/>
      <c r="AR36" s="326"/>
      <c r="AS36" s="326"/>
      <c r="AT36" s="326"/>
      <c r="AU36" s="326"/>
      <c r="AV36" s="326"/>
      <c r="AW36" s="326"/>
      <c r="AX36" s="326"/>
      <c r="AY36" s="326"/>
      <c r="AZ36" s="326"/>
      <c r="BA36" s="326"/>
      <c r="BB36" s="326"/>
      <c r="BC36" s="326"/>
      <c r="BD36" s="326"/>
      <c r="BE36" s="326"/>
      <c r="BF36" s="326"/>
      <c r="BG36" s="326"/>
      <c r="BH36" s="326"/>
      <c r="BI36" s="326"/>
      <c r="BJ36" s="326"/>
      <c r="BK36" s="326"/>
      <c r="BL36" s="326"/>
      <c r="BM36" s="326"/>
      <c r="BN36" s="326"/>
      <c r="BO36" s="326"/>
      <c r="BP36" s="326"/>
      <c r="BQ36" s="326"/>
      <c r="BR36" s="326"/>
      <c r="BS36" s="326"/>
      <c r="BT36" s="326"/>
      <c r="BU36" s="326"/>
      <c r="BV36" s="326"/>
      <c r="BW36" s="326"/>
      <c r="BX36" s="326"/>
      <c r="BY36" s="326"/>
      <c r="BZ36" s="326"/>
      <c r="CA36" s="326"/>
      <c r="CB36" s="321"/>
    </row>
    <row r="37" spans="1:34" s="322" customFormat="1" ht="8.25" customHeight="1">
      <c r="A37" s="324"/>
      <c r="B37" s="325"/>
      <c r="AH37" s="321"/>
    </row>
    <row r="38" spans="1:79" s="321" customFormat="1" ht="6.75" customHeight="1">
      <c r="A38" s="243"/>
      <c r="B38" s="265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  <c r="AL38" s="323"/>
      <c r="AM38" s="323"/>
      <c r="AN38" s="323"/>
      <c r="AO38" s="323"/>
      <c r="AP38" s="323"/>
      <c r="AQ38" s="323"/>
      <c r="AR38" s="323"/>
      <c r="AS38" s="323"/>
      <c r="AT38" s="323"/>
      <c r="AU38" s="323"/>
      <c r="AV38" s="323"/>
      <c r="AW38" s="323"/>
      <c r="AX38" s="323"/>
      <c r="AY38" s="323"/>
      <c r="AZ38" s="323"/>
      <c r="BA38" s="323"/>
      <c r="BB38" s="323"/>
      <c r="BC38" s="323"/>
      <c r="BD38" s="323"/>
      <c r="BE38" s="323"/>
      <c r="BF38" s="323"/>
      <c r="BG38" s="323"/>
      <c r="BH38" s="323"/>
      <c r="BI38" s="323"/>
      <c r="BJ38" s="323"/>
      <c r="BK38" s="323"/>
      <c r="BL38" s="323"/>
      <c r="BM38" s="323"/>
      <c r="BN38" s="323"/>
      <c r="BO38" s="323"/>
      <c r="BP38" s="323"/>
      <c r="BQ38" s="323"/>
      <c r="BR38" s="323"/>
      <c r="BS38" s="323"/>
      <c r="BT38" s="323"/>
      <c r="BU38" s="323"/>
      <c r="BV38" s="323"/>
      <c r="BW38" s="323"/>
      <c r="BX38" s="323"/>
      <c r="BY38" s="323"/>
      <c r="BZ38" s="323"/>
      <c r="CA38" s="323"/>
    </row>
    <row r="39" spans="3:81" s="321" customFormat="1" ht="12.75">
      <c r="C39" s="328" t="s">
        <v>197</v>
      </c>
      <c r="D39" s="328"/>
      <c r="E39" s="328"/>
      <c r="F39" s="328"/>
      <c r="G39" s="328"/>
      <c r="H39" s="328"/>
      <c r="I39" s="329"/>
      <c r="J39" s="328" t="s">
        <v>197</v>
      </c>
      <c r="K39" s="328"/>
      <c r="L39" s="328"/>
      <c r="M39" s="328"/>
      <c r="N39" s="328"/>
      <c r="O39" s="328"/>
      <c r="P39" s="329"/>
      <c r="Q39" s="328" t="s">
        <v>197</v>
      </c>
      <c r="R39" s="328"/>
      <c r="S39" s="328"/>
      <c r="T39" s="328"/>
      <c r="U39" s="328"/>
      <c r="V39" s="328"/>
      <c r="W39" s="329"/>
      <c r="X39" s="328" t="s">
        <v>197</v>
      </c>
      <c r="Y39" s="328"/>
      <c r="Z39" s="328"/>
      <c r="AA39" s="328"/>
      <c r="AB39" s="328"/>
      <c r="AC39" s="328"/>
      <c r="AD39" s="329"/>
      <c r="AE39" s="328" t="s">
        <v>197</v>
      </c>
      <c r="AF39" s="328"/>
      <c r="AG39" s="328"/>
      <c r="AH39" s="328"/>
      <c r="AI39" s="328"/>
      <c r="AJ39" s="328"/>
      <c r="AK39" s="329"/>
      <c r="AL39" s="328" t="s">
        <v>197</v>
      </c>
      <c r="AM39" s="328"/>
      <c r="AN39" s="328"/>
      <c r="AO39" s="328"/>
      <c r="AP39" s="328"/>
      <c r="AQ39" s="328"/>
      <c r="AR39" s="329"/>
      <c r="AS39" s="328" t="s">
        <v>197</v>
      </c>
      <c r="AT39" s="328"/>
      <c r="AU39" s="328"/>
      <c r="AV39" s="328"/>
      <c r="AW39" s="328"/>
      <c r="AX39" s="328"/>
      <c r="AY39" s="329"/>
      <c r="AZ39" s="328" t="s">
        <v>197</v>
      </c>
      <c r="BA39" s="328"/>
      <c r="BB39" s="328"/>
      <c r="BC39" s="328"/>
      <c r="BD39" s="328"/>
      <c r="BE39" s="328"/>
      <c r="BF39" s="329"/>
      <c r="BG39" s="328" t="s">
        <v>197</v>
      </c>
      <c r="BH39" s="328"/>
      <c r="BI39" s="328"/>
      <c r="BJ39" s="328"/>
      <c r="BK39" s="328"/>
      <c r="BL39" s="328"/>
      <c r="BM39" s="329"/>
      <c r="BN39" s="328" t="s">
        <v>197</v>
      </c>
      <c r="BO39" s="328"/>
      <c r="BP39" s="328"/>
      <c r="BQ39" s="328"/>
      <c r="BR39" s="328"/>
      <c r="BS39" s="328"/>
      <c r="BT39" s="329"/>
      <c r="BU39" s="328" t="s">
        <v>197</v>
      </c>
      <c r="BV39" s="328"/>
      <c r="BW39" s="328"/>
      <c r="BX39" s="328"/>
      <c r="BY39" s="328"/>
      <c r="BZ39" s="328"/>
      <c r="CA39" s="329"/>
      <c r="CB39" s="187"/>
      <c r="CC39" s="187"/>
    </row>
    <row r="40" spans="3:81" s="321" customFormat="1" ht="15" customHeight="1">
      <c r="C40" s="330" t="s">
        <v>636</v>
      </c>
      <c r="D40" s="330"/>
      <c r="E40" s="330"/>
      <c r="F40" s="330"/>
      <c r="G40" s="330"/>
      <c r="H40" s="330"/>
      <c r="I40" s="329"/>
      <c r="J40" s="330" t="s">
        <v>636</v>
      </c>
      <c r="K40" s="330"/>
      <c r="L40" s="330"/>
      <c r="M40" s="330"/>
      <c r="N40" s="330"/>
      <c r="O40" s="330"/>
      <c r="P40" s="329"/>
      <c r="Q40" s="330" t="s">
        <v>636</v>
      </c>
      <c r="R40" s="330"/>
      <c r="S40" s="330"/>
      <c r="T40" s="330"/>
      <c r="U40" s="330"/>
      <c r="V40" s="330"/>
      <c r="W40" s="329"/>
      <c r="X40" s="330" t="s">
        <v>636</v>
      </c>
      <c r="Y40" s="330"/>
      <c r="Z40" s="330"/>
      <c r="AA40" s="330"/>
      <c r="AB40" s="330"/>
      <c r="AC40" s="330"/>
      <c r="AD40" s="329"/>
      <c r="AE40" s="330" t="s">
        <v>636</v>
      </c>
      <c r="AF40" s="330"/>
      <c r="AG40" s="330"/>
      <c r="AH40" s="330"/>
      <c r="AI40" s="330"/>
      <c r="AJ40" s="330"/>
      <c r="AK40" s="329"/>
      <c r="AL40" s="330" t="s">
        <v>636</v>
      </c>
      <c r="AM40" s="330"/>
      <c r="AN40" s="330"/>
      <c r="AO40" s="330"/>
      <c r="AP40" s="330"/>
      <c r="AQ40" s="330"/>
      <c r="AR40" s="329"/>
      <c r="AS40" s="330" t="s">
        <v>636</v>
      </c>
      <c r="AT40" s="330"/>
      <c r="AU40" s="330"/>
      <c r="AV40" s="330"/>
      <c r="AW40" s="330"/>
      <c r="AX40" s="330"/>
      <c r="AY40" s="329"/>
      <c r="AZ40" s="330" t="s">
        <v>636</v>
      </c>
      <c r="BA40" s="330"/>
      <c r="BB40" s="330"/>
      <c r="BC40" s="330"/>
      <c r="BD40" s="330"/>
      <c r="BE40" s="330"/>
      <c r="BF40" s="329"/>
      <c r="BG40" s="330" t="s">
        <v>636</v>
      </c>
      <c r="BH40" s="330"/>
      <c r="BI40" s="330"/>
      <c r="BJ40" s="330"/>
      <c r="BK40" s="330"/>
      <c r="BL40" s="330"/>
      <c r="BM40" s="329"/>
      <c r="BN40" s="330" t="s">
        <v>636</v>
      </c>
      <c r="BO40" s="330"/>
      <c r="BP40" s="330"/>
      <c r="BQ40" s="330"/>
      <c r="BR40" s="330"/>
      <c r="BS40" s="330"/>
      <c r="BT40" s="329"/>
      <c r="BU40" s="330" t="s">
        <v>636</v>
      </c>
      <c r="BV40" s="330"/>
      <c r="BW40" s="330"/>
      <c r="BX40" s="330"/>
      <c r="BY40" s="330"/>
      <c r="BZ40" s="330"/>
      <c r="CA40" s="329"/>
      <c r="CB40" s="187"/>
      <c r="CC40" s="187"/>
    </row>
    <row r="41" spans="3:81" s="321" customFormat="1" ht="12.75">
      <c r="C41" s="330" t="s">
        <v>637</v>
      </c>
      <c r="D41" s="330"/>
      <c r="E41" s="330"/>
      <c r="F41" s="330"/>
      <c r="G41" s="330"/>
      <c r="H41" s="330"/>
      <c r="I41" s="329"/>
      <c r="J41" s="330" t="s">
        <v>637</v>
      </c>
      <c r="K41" s="330"/>
      <c r="L41" s="330"/>
      <c r="M41" s="330"/>
      <c r="N41" s="330"/>
      <c r="O41" s="330"/>
      <c r="P41" s="329"/>
      <c r="Q41" s="330" t="s">
        <v>637</v>
      </c>
      <c r="R41" s="330"/>
      <c r="S41" s="330"/>
      <c r="T41" s="330"/>
      <c r="U41" s="330"/>
      <c r="V41" s="330"/>
      <c r="W41" s="329"/>
      <c r="X41" s="330" t="s">
        <v>637</v>
      </c>
      <c r="Y41" s="330"/>
      <c r="Z41" s="330"/>
      <c r="AA41" s="330"/>
      <c r="AB41" s="330"/>
      <c r="AC41" s="330"/>
      <c r="AD41" s="329"/>
      <c r="AE41" s="330" t="s">
        <v>637</v>
      </c>
      <c r="AF41" s="330"/>
      <c r="AG41" s="330"/>
      <c r="AH41" s="330"/>
      <c r="AI41" s="330"/>
      <c r="AJ41" s="330"/>
      <c r="AK41" s="329"/>
      <c r="AL41" s="330" t="s">
        <v>637</v>
      </c>
      <c r="AM41" s="330"/>
      <c r="AN41" s="330"/>
      <c r="AO41" s="330"/>
      <c r="AP41" s="330"/>
      <c r="AQ41" s="330"/>
      <c r="AR41" s="329"/>
      <c r="AS41" s="330" t="s">
        <v>637</v>
      </c>
      <c r="AT41" s="330"/>
      <c r="AU41" s="330"/>
      <c r="AV41" s="330"/>
      <c r="AW41" s="330"/>
      <c r="AX41" s="330"/>
      <c r="AY41" s="329"/>
      <c r="AZ41" s="330" t="s">
        <v>637</v>
      </c>
      <c r="BA41" s="330"/>
      <c r="BB41" s="330"/>
      <c r="BC41" s="330"/>
      <c r="BD41" s="330"/>
      <c r="BE41" s="330"/>
      <c r="BF41" s="329"/>
      <c r="BG41" s="330" t="s">
        <v>637</v>
      </c>
      <c r="BH41" s="330"/>
      <c r="BI41" s="330"/>
      <c r="BJ41" s="330"/>
      <c r="BK41" s="330"/>
      <c r="BL41" s="330"/>
      <c r="BM41" s="329"/>
      <c r="BN41" s="330" t="s">
        <v>637</v>
      </c>
      <c r="BO41" s="330"/>
      <c r="BP41" s="330"/>
      <c r="BQ41" s="330"/>
      <c r="BR41" s="330"/>
      <c r="BS41" s="330"/>
      <c r="BT41" s="329"/>
      <c r="BU41" s="330" t="s">
        <v>637</v>
      </c>
      <c r="BV41" s="330"/>
      <c r="BW41" s="330"/>
      <c r="BX41" s="330"/>
      <c r="BY41" s="330"/>
      <c r="BZ41" s="330"/>
      <c r="CA41" s="329"/>
      <c r="CB41" s="187"/>
      <c r="CC41" s="187"/>
    </row>
    <row r="42" spans="3:81" s="321" customFormat="1" ht="12.75">
      <c r="C42" s="330" t="s">
        <v>638</v>
      </c>
      <c r="D42" s="330"/>
      <c r="E42" s="330"/>
      <c r="F42" s="330"/>
      <c r="G42" s="330"/>
      <c r="H42" s="330"/>
      <c r="I42" s="329"/>
      <c r="J42" s="330" t="s">
        <v>638</v>
      </c>
      <c r="K42" s="330"/>
      <c r="L42" s="330"/>
      <c r="M42" s="330"/>
      <c r="N42" s="330"/>
      <c r="O42" s="330"/>
      <c r="P42" s="329"/>
      <c r="Q42" s="330" t="s">
        <v>638</v>
      </c>
      <c r="R42" s="330"/>
      <c r="S42" s="330"/>
      <c r="T42" s="330"/>
      <c r="U42" s="330"/>
      <c r="V42" s="330"/>
      <c r="W42" s="329"/>
      <c r="X42" s="330" t="s">
        <v>638</v>
      </c>
      <c r="Y42" s="330"/>
      <c r="Z42" s="330"/>
      <c r="AA42" s="330"/>
      <c r="AB42" s="330"/>
      <c r="AC42" s="330"/>
      <c r="AD42" s="329"/>
      <c r="AE42" s="330" t="s">
        <v>638</v>
      </c>
      <c r="AF42" s="330"/>
      <c r="AG42" s="330"/>
      <c r="AH42" s="330"/>
      <c r="AI42" s="330"/>
      <c r="AJ42" s="330"/>
      <c r="AK42" s="329"/>
      <c r="AL42" s="330" t="s">
        <v>638</v>
      </c>
      <c r="AM42" s="330"/>
      <c r="AN42" s="330"/>
      <c r="AO42" s="330"/>
      <c r="AP42" s="330"/>
      <c r="AQ42" s="330"/>
      <c r="AR42" s="329"/>
      <c r="AS42" s="330" t="s">
        <v>638</v>
      </c>
      <c r="AT42" s="330"/>
      <c r="AU42" s="330"/>
      <c r="AV42" s="330"/>
      <c r="AW42" s="330"/>
      <c r="AX42" s="330"/>
      <c r="AY42" s="329"/>
      <c r="AZ42" s="330" t="s">
        <v>638</v>
      </c>
      <c r="BA42" s="330"/>
      <c r="BB42" s="330"/>
      <c r="BC42" s="330"/>
      <c r="BD42" s="330"/>
      <c r="BE42" s="330"/>
      <c r="BF42" s="329"/>
      <c r="BG42" s="330" t="s">
        <v>638</v>
      </c>
      <c r="BH42" s="330"/>
      <c r="BI42" s="330"/>
      <c r="BJ42" s="330"/>
      <c r="BK42" s="330"/>
      <c r="BL42" s="330"/>
      <c r="BM42" s="329"/>
      <c r="BN42" s="330" t="s">
        <v>638</v>
      </c>
      <c r="BO42" s="330"/>
      <c r="BP42" s="330"/>
      <c r="BQ42" s="330"/>
      <c r="BR42" s="330"/>
      <c r="BS42" s="330"/>
      <c r="BT42" s="329"/>
      <c r="BU42" s="330" t="s">
        <v>638</v>
      </c>
      <c r="BV42" s="330"/>
      <c r="BW42" s="330"/>
      <c r="BX42" s="330"/>
      <c r="BY42" s="330"/>
      <c r="BZ42" s="330"/>
      <c r="CA42" s="329"/>
      <c r="CB42" s="187"/>
      <c r="CC42" s="187"/>
    </row>
    <row r="43" spans="3:81" s="321" customFormat="1" ht="12.75">
      <c r="C43" s="330" t="s">
        <v>639</v>
      </c>
      <c r="D43" s="330"/>
      <c r="E43" s="330"/>
      <c r="F43" s="330"/>
      <c r="G43" s="330"/>
      <c r="H43" s="330"/>
      <c r="I43" s="329"/>
      <c r="J43" s="330" t="s">
        <v>639</v>
      </c>
      <c r="K43" s="330"/>
      <c r="L43" s="330"/>
      <c r="M43" s="330"/>
      <c r="N43" s="330"/>
      <c r="O43" s="330"/>
      <c r="P43" s="329"/>
      <c r="Q43" s="330" t="s">
        <v>639</v>
      </c>
      <c r="R43" s="330"/>
      <c r="S43" s="330"/>
      <c r="T43" s="330"/>
      <c r="U43" s="330"/>
      <c r="V43" s="330"/>
      <c r="W43" s="329"/>
      <c r="X43" s="330" t="s">
        <v>639</v>
      </c>
      <c r="Y43" s="330"/>
      <c r="Z43" s="330"/>
      <c r="AA43" s="330"/>
      <c r="AB43" s="330"/>
      <c r="AC43" s="330"/>
      <c r="AD43" s="329"/>
      <c r="AE43" s="330" t="s">
        <v>639</v>
      </c>
      <c r="AF43" s="330"/>
      <c r="AG43" s="330"/>
      <c r="AH43" s="330"/>
      <c r="AI43" s="330"/>
      <c r="AJ43" s="330"/>
      <c r="AK43" s="329"/>
      <c r="AL43" s="330" t="s">
        <v>639</v>
      </c>
      <c r="AM43" s="330"/>
      <c r="AN43" s="330"/>
      <c r="AO43" s="330"/>
      <c r="AP43" s="330"/>
      <c r="AQ43" s="330"/>
      <c r="AR43" s="329"/>
      <c r="AS43" s="330" t="s">
        <v>639</v>
      </c>
      <c r="AT43" s="330"/>
      <c r="AU43" s="330"/>
      <c r="AV43" s="330"/>
      <c r="AW43" s="330"/>
      <c r="AX43" s="330"/>
      <c r="AY43" s="329"/>
      <c r="AZ43" s="330" t="s">
        <v>639</v>
      </c>
      <c r="BA43" s="330"/>
      <c r="BB43" s="330"/>
      <c r="BC43" s="330"/>
      <c r="BD43" s="330"/>
      <c r="BE43" s="330"/>
      <c r="BF43" s="329"/>
      <c r="BG43" s="330" t="s">
        <v>639</v>
      </c>
      <c r="BH43" s="330"/>
      <c r="BI43" s="330"/>
      <c r="BJ43" s="330"/>
      <c r="BK43" s="330"/>
      <c r="BL43" s="330"/>
      <c r="BM43" s="329"/>
      <c r="BN43" s="330" t="s">
        <v>639</v>
      </c>
      <c r="BO43" s="330"/>
      <c r="BP43" s="330"/>
      <c r="BQ43" s="330"/>
      <c r="BR43" s="330"/>
      <c r="BS43" s="330"/>
      <c r="BT43" s="329"/>
      <c r="BU43" s="330" t="s">
        <v>639</v>
      </c>
      <c r="BV43" s="330"/>
      <c r="BW43" s="330"/>
      <c r="BX43" s="330"/>
      <c r="BY43" s="330"/>
      <c r="BZ43" s="330"/>
      <c r="CA43" s="329"/>
      <c r="CB43" s="187"/>
      <c r="CC43" s="187"/>
    </row>
    <row r="44" spans="3:81" s="321" customFormat="1" ht="11.25" customHeight="1">
      <c r="C44" s="330" t="s">
        <v>693</v>
      </c>
      <c r="D44" s="330"/>
      <c r="E44" s="330"/>
      <c r="F44" s="330"/>
      <c r="G44" s="330"/>
      <c r="H44" s="330"/>
      <c r="I44" s="329"/>
      <c r="J44" s="330" t="s">
        <v>693</v>
      </c>
      <c r="K44" s="330"/>
      <c r="L44" s="330"/>
      <c r="M44" s="330"/>
      <c r="N44" s="330"/>
      <c r="O44" s="330"/>
      <c r="P44" s="329"/>
      <c r="Q44" s="330" t="s">
        <v>693</v>
      </c>
      <c r="R44" s="330"/>
      <c r="S44" s="330"/>
      <c r="T44" s="330"/>
      <c r="U44" s="330"/>
      <c r="V44" s="330"/>
      <c r="W44" s="329"/>
      <c r="X44" s="330" t="s">
        <v>693</v>
      </c>
      <c r="Y44" s="330"/>
      <c r="Z44" s="330"/>
      <c r="AA44" s="330"/>
      <c r="AB44" s="330"/>
      <c r="AC44" s="330"/>
      <c r="AD44" s="329"/>
      <c r="AE44" s="330" t="s">
        <v>693</v>
      </c>
      <c r="AF44" s="330"/>
      <c r="AG44" s="330"/>
      <c r="AH44" s="330"/>
      <c r="AI44" s="330"/>
      <c r="AJ44" s="330"/>
      <c r="AK44" s="329"/>
      <c r="AL44" s="330" t="s">
        <v>693</v>
      </c>
      <c r="AM44" s="330"/>
      <c r="AN44" s="330"/>
      <c r="AO44" s="330"/>
      <c r="AP44" s="330"/>
      <c r="AQ44" s="330"/>
      <c r="AR44" s="329"/>
      <c r="AS44" s="330" t="s">
        <v>693</v>
      </c>
      <c r="AT44" s="330"/>
      <c r="AU44" s="330"/>
      <c r="AV44" s="330"/>
      <c r="AW44" s="330"/>
      <c r="AX44" s="330"/>
      <c r="AY44" s="329"/>
      <c r="AZ44" s="330" t="s">
        <v>693</v>
      </c>
      <c r="BA44" s="330"/>
      <c r="BB44" s="330"/>
      <c r="BC44" s="330"/>
      <c r="BD44" s="330"/>
      <c r="BE44" s="330"/>
      <c r="BF44" s="329"/>
      <c r="BG44" s="330" t="s">
        <v>693</v>
      </c>
      <c r="BH44" s="330"/>
      <c r="BI44" s="330"/>
      <c r="BJ44" s="330"/>
      <c r="BK44" s="330"/>
      <c r="BL44" s="330"/>
      <c r="BM44" s="329"/>
      <c r="BN44" s="330" t="s">
        <v>693</v>
      </c>
      <c r="BO44" s="330"/>
      <c r="BP44" s="330"/>
      <c r="BQ44" s="330"/>
      <c r="BR44" s="330"/>
      <c r="BS44" s="330"/>
      <c r="BT44" s="329"/>
      <c r="BU44" s="330" t="s">
        <v>693</v>
      </c>
      <c r="BV44" s="330"/>
      <c r="BW44" s="330"/>
      <c r="BX44" s="330"/>
      <c r="BY44" s="330"/>
      <c r="BZ44" s="330"/>
      <c r="CA44" s="329"/>
      <c r="CB44" s="187"/>
      <c r="CC44" s="187"/>
    </row>
    <row r="45" spans="3:81" s="321" customFormat="1" ht="11.25" customHeight="1">
      <c r="C45" s="330" t="s">
        <v>680</v>
      </c>
      <c r="D45" s="330"/>
      <c r="E45" s="330"/>
      <c r="F45" s="330"/>
      <c r="G45" s="330"/>
      <c r="H45" s="330"/>
      <c r="I45" s="329"/>
      <c r="J45" s="330" t="s">
        <v>680</v>
      </c>
      <c r="K45" s="330"/>
      <c r="L45" s="330"/>
      <c r="M45" s="330"/>
      <c r="N45" s="330"/>
      <c r="O45" s="330"/>
      <c r="P45" s="329"/>
      <c r="Q45" s="330" t="s">
        <v>680</v>
      </c>
      <c r="R45" s="330"/>
      <c r="S45" s="330"/>
      <c r="T45" s="330"/>
      <c r="U45" s="330"/>
      <c r="V45" s="330"/>
      <c r="W45" s="329"/>
      <c r="X45" s="330" t="s">
        <v>680</v>
      </c>
      <c r="Y45" s="330"/>
      <c r="Z45" s="330"/>
      <c r="AA45" s="330"/>
      <c r="AB45" s="330"/>
      <c r="AC45" s="330"/>
      <c r="AD45" s="329"/>
      <c r="AE45" s="330" t="s">
        <v>680</v>
      </c>
      <c r="AF45" s="330"/>
      <c r="AG45" s="330"/>
      <c r="AH45" s="330"/>
      <c r="AI45" s="330"/>
      <c r="AJ45" s="330"/>
      <c r="AK45" s="329"/>
      <c r="AL45" s="330" t="s">
        <v>680</v>
      </c>
      <c r="AM45" s="330"/>
      <c r="AN45" s="330"/>
      <c r="AO45" s="330"/>
      <c r="AP45" s="330"/>
      <c r="AQ45" s="330"/>
      <c r="AR45" s="329"/>
      <c r="AS45" s="330" t="s">
        <v>680</v>
      </c>
      <c r="AT45" s="330"/>
      <c r="AU45" s="330"/>
      <c r="AV45" s="330"/>
      <c r="AW45" s="330"/>
      <c r="AX45" s="330"/>
      <c r="AY45" s="329"/>
      <c r="AZ45" s="330" t="s">
        <v>680</v>
      </c>
      <c r="BA45" s="330"/>
      <c r="BB45" s="330"/>
      <c r="BC45" s="330"/>
      <c r="BD45" s="330"/>
      <c r="BE45" s="330"/>
      <c r="BF45" s="329"/>
      <c r="BG45" s="330" t="s">
        <v>680</v>
      </c>
      <c r="BH45" s="330"/>
      <c r="BI45" s="330"/>
      <c r="BJ45" s="330"/>
      <c r="BK45" s="330"/>
      <c r="BL45" s="330"/>
      <c r="BM45" s="329"/>
      <c r="BN45" s="330" t="s">
        <v>680</v>
      </c>
      <c r="BO45" s="330"/>
      <c r="BP45" s="330"/>
      <c r="BQ45" s="330"/>
      <c r="BR45" s="330"/>
      <c r="BS45" s="330"/>
      <c r="BT45" s="329"/>
      <c r="BU45" s="330" t="s">
        <v>680</v>
      </c>
      <c r="BV45" s="330"/>
      <c r="BW45" s="330"/>
      <c r="BX45" s="330"/>
      <c r="BY45" s="330"/>
      <c r="BZ45" s="330"/>
      <c r="CA45" s="329"/>
      <c r="CB45" s="187"/>
      <c r="CC45" s="187"/>
    </row>
    <row r="46" spans="3:81" s="321" customFormat="1" ht="11.25" customHeight="1">
      <c r="C46" s="330" t="s">
        <v>681</v>
      </c>
      <c r="D46" s="330"/>
      <c r="E46" s="330"/>
      <c r="F46" s="330"/>
      <c r="G46" s="330"/>
      <c r="H46" s="330"/>
      <c r="I46" s="329"/>
      <c r="J46" s="330" t="s">
        <v>681</v>
      </c>
      <c r="K46" s="330"/>
      <c r="L46" s="330"/>
      <c r="M46" s="330"/>
      <c r="N46" s="330"/>
      <c r="O46" s="330"/>
      <c r="P46" s="329"/>
      <c r="Q46" s="330" t="s">
        <v>681</v>
      </c>
      <c r="R46" s="330"/>
      <c r="S46" s="330"/>
      <c r="T46" s="330"/>
      <c r="U46" s="330"/>
      <c r="V46" s="330"/>
      <c r="W46" s="329"/>
      <c r="X46" s="330" t="s">
        <v>681</v>
      </c>
      <c r="Y46" s="330"/>
      <c r="Z46" s="330"/>
      <c r="AA46" s="330"/>
      <c r="AB46" s="330"/>
      <c r="AC46" s="330"/>
      <c r="AD46" s="329"/>
      <c r="AE46" s="330" t="s">
        <v>681</v>
      </c>
      <c r="AF46" s="330"/>
      <c r="AG46" s="330"/>
      <c r="AH46" s="330"/>
      <c r="AI46" s="330"/>
      <c r="AJ46" s="330"/>
      <c r="AK46" s="329"/>
      <c r="AL46" s="330" t="s">
        <v>681</v>
      </c>
      <c r="AM46" s="330"/>
      <c r="AN46" s="330"/>
      <c r="AO46" s="330"/>
      <c r="AP46" s="330"/>
      <c r="AQ46" s="330"/>
      <c r="AR46" s="329"/>
      <c r="AS46" s="330" t="s">
        <v>681</v>
      </c>
      <c r="AT46" s="330"/>
      <c r="AU46" s="330"/>
      <c r="AV46" s="330"/>
      <c r="AW46" s="330"/>
      <c r="AX46" s="330"/>
      <c r="AY46" s="329"/>
      <c r="AZ46" s="330" t="s">
        <v>681</v>
      </c>
      <c r="BA46" s="330"/>
      <c r="BB46" s="330"/>
      <c r="BC46" s="330"/>
      <c r="BD46" s="330"/>
      <c r="BE46" s="330"/>
      <c r="BF46" s="329"/>
      <c r="BG46" s="330" t="s">
        <v>681</v>
      </c>
      <c r="BH46" s="330"/>
      <c r="BI46" s="330"/>
      <c r="BJ46" s="330"/>
      <c r="BK46" s="330"/>
      <c r="BL46" s="330"/>
      <c r="BM46" s="329"/>
      <c r="BN46" s="330" t="s">
        <v>681</v>
      </c>
      <c r="BO46" s="330"/>
      <c r="BP46" s="330"/>
      <c r="BQ46" s="330"/>
      <c r="BR46" s="330"/>
      <c r="BS46" s="330"/>
      <c r="BT46" s="329"/>
      <c r="BU46" s="330" t="s">
        <v>681</v>
      </c>
      <c r="BV46" s="330"/>
      <c r="BW46" s="330"/>
      <c r="BX46" s="330"/>
      <c r="BY46" s="330"/>
      <c r="BZ46" s="330"/>
      <c r="CA46" s="329"/>
      <c r="CB46" s="187"/>
      <c r="CC46" s="187"/>
    </row>
    <row r="47" spans="3:81" s="321" customFormat="1" ht="11.25" customHeight="1">
      <c r="C47" s="330" t="s">
        <v>682</v>
      </c>
      <c r="D47" s="330"/>
      <c r="E47" s="330"/>
      <c r="F47" s="330"/>
      <c r="G47" s="330"/>
      <c r="H47" s="330"/>
      <c r="I47" s="329"/>
      <c r="J47" s="330" t="s">
        <v>682</v>
      </c>
      <c r="K47" s="330"/>
      <c r="L47" s="330"/>
      <c r="M47" s="330"/>
      <c r="N47" s="330"/>
      <c r="O47" s="330"/>
      <c r="P47" s="329"/>
      <c r="Q47" s="330" t="s">
        <v>682</v>
      </c>
      <c r="R47" s="330"/>
      <c r="S47" s="330"/>
      <c r="T47" s="330"/>
      <c r="U47" s="330"/>
      <c r="V47" s="330"/>
      <c r="W47" s="329"/>
      <c r="X47" s="330" t="s">
        <v>682</v>
      </c>
      <c r="Y47" s="330"/>
      <c r="Z47" s="330"/>
      <c r="AA47" s="330"/>
      <c r="AB47" s="330"/>
      <c r="AC47" s="330"/>
      <c r="AD47" s="329"/>
      <c r="AE47" s="330" t="s">
        <v>682</v>
      </c>
      <c r="AF47" s="330"/>
      <c r="AG47" s="330"/>
      <c r="AH47" s="330"/>
      <c r="AI47" s="330"/>
      <c r="AJ47" s="330"/>
      <c r="AK47" s="329"/>
      <c r="AL47" s="330" t="s">
        <v>682</v>
      </c>
      <c r="AM47" s="330"/>
      <c r="AN47" s="330"/>
      <c r="AO47" s="330"/>
      <c r="AP47" s="330"/>
      <c r="AQ47" s="330"/>
      <c r="AR47" s="329"/>
      <c r="AS47" s="330" t="s">
        <v>682</v>
      </c>
      <c r="AT47" s="330"/>
      <c r="AU47" s="330"/>
      <c r="AV47" s="330"/>
      <c r="AW47" s="330"/>
      <c r="AX47" s="330"/>
      <c r="AY47" s="329"/>
      <c r="AZ47" s="330" t="s">
        <v>682</v>
      </c>
      <c r="BA47" s="330"/>
      <c r="BB47" s="330"/>
      <c r="BC47" s="330"/>
      <c r="BD47" s="330"/>
      <c r="BE47" s="330"/>
      <c r="BF47" s="329"/>
      <c r="BG47" s="330" t="s">
        <v>682</v>
      </c>
      <c r="BH47" s="330"/>
      <c r="BI47" s="330"/>
      <c r="BJ47" s="330"/>
      <c r="BK47" s="330"/>
      <c r="BL47" s="330"/>
      <c r="BM47" s="329"/>
      <c r="BN47" s="330" t="s">
        <v>682</v>
      </c>
      <c r="BO47" s="330"/>
      <c r="BP47" s="330"/>
      <c r="BQ47" s="330"/>
      <c r="BR47" s="330"/>
      <c r="BS47" s="330"/>
      <c r="BT47" s="329"/>
      <c r="BU47" s="330" t="s">
        <v>682</v>
      </c>
      <c r="BV47" s="330"/>
      <c r="BW47" s="330"/>
      <c r="BX47" s="330"/>
      <c r="BY47" s="330"/>
      <c r="BZ47" s="330"/>
      <c r="CA47" s="329"/>
      <c r="CB47" s="187"/>
      <c r="CC47" s="187"/>
    </row>
    <row r="48" spans="3:81" s="321" customFormat="1" ht="11.25" customHeight="1">
      <c r="C48" s="330" t="s">
        <v>671</v>
      </c>
      <c r="D48" s="330"/>
      <c r="E48" s="330"/>
      <c r="F48" s="330"/>
      <c r="G48" s="330"/>
      <c r="H48" s="330"/>
      <c r="I48" s="329"/>
      <c r="J48" s="330" t="s">
        <v>671</v>
      </c>
      <c r="K48" s="330"/>
      <c r="L48" s="330"/>
      <c r="M48" s="330"/>
      <c r="N48" s="330"/>
      <c r="O48" s="330"/>
      <c r="P48" s="329"/>
      <c r="Q48" s="330" t="s">
        <v>671</v>
      </c>
      <c r="R48" s="330"/>
      <c r="S48" s="330"/>
      <c r="T48" s="330"/>
      <c r="U48" s="330"/>
      <c r="V48" s="330"/>
      <c r="W48" s="329"/>
      <c r="X48" s="330" t="s">
        <v>671</v>
      </c>
      <c r="Y48" s="330"/>
      <c r="Z48" s="330"/>
      <c r="AA48" s="330"/>
      <c r="AB48" s="330"/>
      <c r="AC48" s="330"/>
      <c r="AD48" s="329"/>
      <c r="AE48" s="330" t="s">
        <v>671</v>
      </c>
      <c r="AF48" s="330"/>
      <c r="AG48" s="330"/>
      <c r="AH48" s="330"/>
      <c r="AI48" s="330"/>
      <c r="AJ48" s="330"/>
      <c r="AK48" s="329"/>
      <c r="AL48" s="330" t="s">
        <v>671</v>
      </c>
      <c r="AM48" s="330"/>
      <c r="AN48" s="330"/>
      <c r="AO48" s="330"/>
      <c r="AP48" s="330"/>
      <c r="AQ48" s="330"/>
      <c r="AR48" s="329"/>
      <c r="AS48" s="330" t="s">
        <v>671</v>
      </c>
      <c r="AT48" s="330"/>
      <c r="AU48" s="330"/>
      <c r="AV48" s="330"/>
      <c r="AW48" s="330"/>
      <c r="AX48" s="330"/>
      <c r="AY48" s="329"/>
      <c r="AZ48" s="330" t="s">
        <v>671</v>
      </c>
      <c r="BA48" s="330"/>
      <c r="BB48" s="330"/>
      <c r="BC48" s="330"/>
      <c r="BD48" s="330"/>
      <c r="BE48" s="330"/>
      <c r="BF48" s="329"/>
      <c r="BG48" s="330" t="s">
        <v>671</v>
      </c>
      <c r="BH48" s="330"/>
      <c r="BI48" s="330"/>
      <c r="BJ48" s="330"/>
      <c r="BK48" s="330"/>
      <c r="BL48" s="330"/>
      <c r="BM48" s="329"/>
      <c r="BN48" s="330" t="s">
        <v>671</v>
      </c>
      <c r="BO48" s="330"/>
      <c r="BP48" s="330"/>
      <c r="BQ48" s="330"/>
      <c r="BR48" s="330"/>
      <c r="BS48" s="330"/>
      <c r="BT48" s="329"/>
      <c r="BU48" s="330" t="s">
        <v>671</v>
      </c>
      <c r="BV48" s="330"/>
      <c r="BW48" s="330"/>
      <c r="BX48" s="330"/>
      <c r="BY48" s="330"/>
      <c r="BZ48" s="330"/>
      <c r="CA48" s="329"/>
      <c r="CB48" s="187"/>
      <c r="CC48" s="187"/>
    </row>
    <row r="49" spans="3:81" s="321" customFormat="1" ht="12.75">
      <c r="C49" s="330" t="s">
        <v>655</v>
      </c>
      <c r="D49" s="330"/>
      <c r="E49" s="330"/>
      <c r="F49" s="330"/>
      <c r="G49" s="330"/>
      <c r="H49" s="330" t="s">
        <v>175</v>
      </c>
      <c r="I49" s="329"/>
      <c r="J49" s="330" t="s">
        <v>655</v>
      </c>
      <c r="K49" s="330"/>
      <c r="L49" s="330"/>
      <c r="M49" s="330"/>
      <c r="N49" s="330"/>
      <c r="O49" s="330" t="s">
        <v>175</v>
      </c>
      <c r="P49" s="329"/>
      <c r="Q49" s="330" t="s">
        <v>655</v>
      </c>
      <c r="R49" s="330"/>
      <c r="S49" s="330"/>
      <c r="T49" s="330"/>
      <c r="U49" s="330"/>
      <c r="V49" s="330" t="s">
        <v>175</v>
      </c>
      <c r="W49" s="329"/>
      <c r="X49" s="330" t="s">
        <v>655</v>
      </c>
      <c r="Y49" s="330"/>
      <c r="Z49" s="330"/>
      <c r="AA49" s="330"/>
      <c r="AB49" s="330"/>
      <c r="AC49" s="330" t="s">
        <v>175</v>
      </c>
      <c r="AD49" s="329"/>
      <c r="AE49" s="330" t="s">
        <v>655</v>
      </c>
      <c r="AF49" s="330"/>
      <c r="AG49" s="330"/>
      <c r="AH49" s="330"/>
      <c r="AI49" s="330"/>
      <c r="AJ49" s="330" t="s">
        <v>175</v>
      </c>
      <c r="AK49" s="329"/>
      <c r="AL49" s="330" t="s">
        <v>655</v>
      </c>
      <c r="AM49" s="330"/>
      <c r="AN49" s="330"/>
      <c r="AO49" s="330"/>
      <c r="AP49" s="330"/>
      <c r="AQ49" s="330" t="s">
        <v>175</v>
      </c>
      <c r="AR49" s="329"/>
      <c r="AS49" s="330" t="s">
        <v>655</v>
      </c>
      <c r="AT49" s="330"/>
      <c r="AU49" s="330"/>
      <c r="AV49" s="330"/>
      <c r="AW49" s="330"/>
      <c r="AX49" s="330" t="s">
        <v>175</v>
      </c>
      <c r="AY49" s="329"/>
      <c r="AZ49" s="330" t="s">
        <v>655</v>
      </c>
      <c r="BA49" s="330"/>
      <c r="BB49" s="330"/>
      <c r="BC49" s="330"/>
      <c r="BD49" s="330"/>
      <c r="BE49" s="330" t="s">
        <v>175</v>
      </c>
      <c r="BF49" s="329"/>
      <c r="BG49" s="330" t="s">
        <v>655</v>
      </c>
      <c r="BH49" s="330"/>
      <c r="BI49" s="330"/>
      <c r="BJ49" s="330"/>
      <c r="BK49" s="330"/>
      <c r="BL49" s="330" t="s">
        <v>175</v>
      </c>
      <c r="BM49" s="329"/>
      <c r="BN49" s="330" t="s">
        <v>655</v>
      </c>
      <c r="BO49" s="330"/>
      <c r="BP49" s="330"/>
      <c r="BQ49" s="330"/>
      <c r="BR49" s="330"/>
      <c r="BS49" s="330" t="s">
        <v>175</v>
      </c>
      <c r="BT49" s="329"/>
      <c r="BU49" s="330" t="s">
        <v>655</v>
      </c>
      <c r="BV49" s="330"/>
      <c r="BW49" s="330"/>
      <c r="BX49" s="330"/>
      <c r="BY49" s="330"/>
      <c r="BZ49" s="330" t="s">
        <v>175</v>
      </c>
      <c r="CA49" s="329"/>
      <c r="CB49" s="187" t="s">
        <v>175</v>
      </c>
      <c r="CC49" s="187"/>
    </row>
    <row r="50" spans="3:81" s="321" customFormat="1" ht="11.25" customHeight="1">
      <c r="C50" s="330" t="s">
        <v>683</v>
      </c>
      <c r="D50" s="330"/>
      <c r="E50" s="330"/>
      <c r="F50" s="330"/>
      <c r="G50" s="330"/>
      <c r="H50" s="330"/>
      <c r="I50" s="329"/>
      <c r="J50" s="330" t="s">
        <v>683</v>
      </c>
      <c r="K50" s="330"/>
      <c r="L50" s="330"/>
      <c r="M50" s="330"/>
      <c r="N50" s="330"/>
      <c r="O50" s="330"/>
      <c r="P50" s="329"/>
      <c r="Q50" s="330" t="s">
        <v>683</v>
      </c>
      <c r="R50" s="330"/>
      <c r="S50" s="330"/>
      <c r="T50" s="330"/>
      <c r="U50" s="330"/>
      <c r="V50" s="330"/>
      <c r="W50" s="329"/>
      <c r="X50" s="330" t="s">
        <v>683</v>
      </c>
      <c r="Y50" s="330"/>
      <c r="Z50" s="330"/>
      <c r="AA50" s="330"/>
      <c r="AB50" s="330"/>
      <c r="AC50" s="330"/>
      <c r="AD50" s="329"/>
      <c r="AE50" s="330" t="s">
        <v>683</v>
      </c>
      <c r="AF50" s="330"/>
      <c r="AG50" s="330"/>
      <c r="AH50" s="330"/>
      <c r="AI50" s="330"/>
      <c r="AJ50" s="330"/>
      <c r="AK50" s="329"/>
      <c r="AL50" s="330" t="s">
        <v>683</v>
      </c>
      <c r="AM50" s="330"/>
      <c r="AN50" s="330"/>
      <c r="AO50" s="330"/>
      <c r="AP50" s="330"/>
      <c r="AQ50" s="330"/>
      <c r="AR50" s="329"/>
      <c r="AS50" s="330" t="s">
        <v>683</v>
      </c>
      <c r="AT50" s="330"/>
      <c r="AU50" s="330"/>
      <c r="AV50" s="330"/>
      <c r="AW50" s="330"/>
      <c r="AX50" s="330"/>
      <c r="AY50" s="329"/>
      <c r="AZ50" s="330" t="s">
        <v>683</v>
      </c>
      <c r="BA50" s="330"/>
      <c r="BB50" s="330"/>
      <c r="BC50" s="330"/>
      <c r="BD50" s="330"/>
      <c r="BE50" s="330"/>
      <c r="BF50" s="329"/>
      <c r="BG50" s="330" t="s">
        <v>683</v>
      </c>
      <c r="BH50" s="330"/>
      <c r="BI50" s="330"/>
      <c r="BJ50" s="330"/>
      <c r="BK50" s="330"/>
      <c r="BL50" s="330"/>
      <c r="BM50" s="329"/>
      <c r="BN50" s="330" t="s">
        <v>683</v>
      </c>
      <c r="BO50" s="330"/>
      <c r="BP50" s="330"/>
      <c r="BQ50" s="330"/>
      <c r="BR50" s="330"/>
      <c r="BS50" s="330"/>
      <c r="BT50" s="329"/>
      <c r="BU50" s="330" t="s">
        <v>683</v>
      </c>
      <c r="BV50" s="330"/>
      <c r="BW50" s="330"/>
      <c r="BX50" s="330"/>
      <c r="BY50" s="330"/>
      <c r="BZ50" s="330"/>
      <c r="CA50" s="329"/>
      <c r="CB50" s="187"/>
      <c r="CC50" s="187"/>
    </row>
    <row r="51" spans="3:81" s="321" customFormat="1" ht="11.25" customHeight="1">
      <c r="C51" s="330" t="s">
        <v>665</v>
      </c>
      <c r="D51" s="330"/>
      <c r="E51" s="330"/>
      <c r="F51" s="330"/>
      <c r="G51" s="330"/>
      <c r="H51" s="330"/>
      <c r="I51" s="329"/>
      <c r="J51" s="330" t="s">
        <v>665</v>
      </c>
      <c r="K51" s="330"/>
      <c r="L51" s="330"/>
      <c r="M51" s="330"/>
      <c r="N51" s="330"/>
      <c r="O51" s="330"/>
      <c r="P51" s="329"/>
      <c r="Q51" s="330" t="s">
        <v>665</v>
      </c>
      <c r="R51" s="330"/>
      <c r="S51" s="330"/>
      <c r="T51" s="330"/>
      <c r="U51" s="330"/>
      <c r="V51" s="330"/>
      <c r="W51" s="329"/>
      <c r="X51" s="330" t="s">
        <v>665</v>
      </c>
      <c r="Y51" s="330"/>
      <c r="Z51" s="330"/>
      <c r="AA51" s="330"/>
      <c r="AB51" s="330"/>
      <c r="AC51" s="330"/>
      <c r="AD51" s="329"/>
      <c r="AE51" s="330" t="s">
        <v>665</v>
      </c>
      <c r="AF51" s="330"/>
      <c r="AG51" s="330"/>
      <c r="AH51" s="330"/>
      <c r="AI51" s="330"/>
      <c r="AJ51" s="330"/>
      <c r="AK51" s="329"/>
      <c r="AL51" s="330" t="s">
        <v>665</v>
      </c>
      <c r="AM51" s="330"/>
      <c r="AN51" s="330"/>
      <c r="AO51" s="330"/>
      <c r="AP51" s="330"/>
      <c r="AQ51" s="330"/>
      <c r="AR51" s="329"/>
      <c r="AS51" s="330" t="s">
        <v>665</v>
      </c>
      <c r="AT51" s="330"/>
      <c r="AU51" s="330"/>
      <c r="AV51" s="330"/>
      <c r="AW51" s="330"/>
      <c r="AX51" s="330"/>
      <c r="AY51" s="329"/>
      <c r="AZ51" s="330" t="s">
        <v>665</v>
      </c>
      <c r="BA51" s="330"/>
      <c r="BB51" s="330"/>
      <c r="BC51" s="330"/>
      <c r="BD51" s="330"/>
      <c r="BE51" s="330"/>
      <c r="BF51" s="329"/>
      <c r="BG51" s="330" t="s">
        <v>665</v>
      </c>
      <c r="BH51" s="330"/>
      <c r="BI51" s="330"/>
      <c r="BJ51" s="330"/>
      <c r="BK51" s="330"/>
      <c r="BL51" s="330"/>
      <c r="BM51" s="329"/>
      <c r="BN51" s="330" t="s">
        <v>665</v>
      </c>
      <c r="BO51" s="330"/>
      <c r="BP51" s="330"/>
      <c r="BQ51" s="330"/>
      <c r="BR51" s="330"/>
      <c r="BS51" s="330"/>
      <c r="BT51" s="329"/>
      <c r="BU51" s="330" t="s">
        <v>665</v>
      </c>
      <c r="BV51" s="330"/>
      <c r="BW51" s="330"/>
      <c r="BX51" s="330"/>
      <c r="BY51" s="330"/>
      <c r="BZ51" s="330"/>
      <c r="CA51" s="329"/>
      <c r="CB51" s="187"/>
      <c r="CC51" s="187"/>
    </row>
    <row r="52" spans="3:81" s="321" customFormat="1" ht="11.25" customHeight="1">
      <c r="C52" s="330" t="s">
        <v>666</v>
      </c>
      <c r="D52" s="330"/>
      <c r="E52" s="330"/>
      <c r="F52" s="330"/>
      <c r="G52" s="330"/>
      <c r="H52" s="330"/>
      <c r="I52" s="329"/>
      <c r="J52" s="330" t="s">
        <v>666</v>
      </c>
      <c r="K52" s="330"/>
      <c r="L52" s="330"/>
      <c r="M52" s="330"/>
      <c r="N52" s="330"/>
      <c r="O52" s="330"/>
      <c r="P52" s="329"/>
      <c r="Q52" s="330" t="s">
        <v>666</v>
      </c>
      <c r="R52" s="330"/>
      <c r="S52" s="330"/>
      <c r="T52" s="330"/>
      <c r="U52" s="330"/>
      <c r="V52" s="330"/>
      <c r="W52" s="329"/>
      <c r="X52" s="330" t="s">
        <v>666</v>
      </c>
      <c r="Y52" s="330"/>
      <c r="Z52" s="330"/>
      <c r="AA52" s="330"/>
      <c r="AB52" s="330"/>
      <c r="AC52" s="330"/>
      <c r="AD52" s="329"/>
      <c r="AE52" s="330" t="s">
        <v>666</v>
      </c>
      <c r="AF52" s="330"/>
      <c r="AG52" s="330"/>
      <c r="AH52" s="330"/>
      <c r="AI52" s="330"/>
      <c r="AJ52" s="330"/>
      <c r="AK52" s="329"/>
      <c r="AL52" s="330" t="s">
        <v>666</v>
      </c>
      <c r="AM52" s="330"/>
      <c r="AN52" s="330"/>
      <c r="AO52" s="330"/>
      <c r="AP52" s="330"/>
      <c r="AQ52" s="330"/>
      <c r="AR52" s="329"/>
      <c r="AS52" s="330" t="s">
        <v>666</v>
      </c>
      <c r="AT52" s="330"/>
      <c r="AU52" s="330"/>
      <c r="AV52" s="330"/>
      <c r="AW52" s="330"/>
      <c r="AX52" s="330"/>
      <c r="AY52" s="329"/>
      <c r="AZ52" s="330" t="s">
        <v>666</v>
      </c>
      <c r="BA52" s="330"/>
      <c r="BB52" s="330"/>
      <c r="BC52" s="330"/>
      <c r="BD52" s="330"/>
      <c r="BE52" s="330"/>
      <c r="BF52" s="329"/>
      <c r="BG52" s="330" t="s">
        <v>666</v>
      </c>
      <c r="BH52" s="330"/>
      <c r="BI52" s="330"/>
      <c r="BJ52" s="330"/>
      <c r="BK52" s="330"/>
      <c r="BL52" s="330"/>
      <c r="BM52" s="329"/>
      <c r="BN52" s="330" t="s">
        <v>666</v>
      </c>
      <c r="BO52" s="330"/>
      <c r="BP52" s="330"/>
      <c r="BQ52" s="330"/>
      <c r="BR52" s="330"/>
      <c r="BS52" s="330"/>
      <c r="BT52" s="329"/>
      <c r="BU52" s="330" t="s">
        <v>666</v>
      </c>
      <c r="BV52" s="330"/>
      <c r="BW52" s="330"/>
      <c r="BX52" s="330"/>
      <c r="BY52" s="330"/>
      <c r="BZ52" s="330"/>
      <c r="CA52" s="329"/>
      <c r="CB52" s="187"/>
      <c r="CC52" s="187"/>
    </row>
    <row r="53" spans="3:81" s="321" customFormat="1" ht="12.75">
      <c r="C53" s="330" t="s">
        <v>667</v>
      </c>
      <c r="D53" s="330"/>
      <c r="E53" s="330"/>
      <c r="F53" s="330"/>
      <c r="G53" s="330"/>
      <c r="H53" s="330"/>
      <c r="I53" s="329"/>
      <c r="J53" s="330" t="s">
        <v>667</v>
      </c>
      <c r="K53" s="330"/>
      <c r="L53" s="330"/>
      <c r="M53" s="330"/>
      <c r="N53" s="330"/>
      <c r="O53" s="330"/>
      <c r="P53" s="329"/>
      <c r="Q53" s="330" t="s">
        <v>667</v>
      </c>
      <c r="R53" s="330"/>
      <c r="S53" s="330"/>
      <c r="T53" s="330"/>
      <c r="U53" s="330"/>
      <c r="V53" s="330"/>
      <c r="W53" s="329"/>
      <c r="X53" s="330" t="s">
        <v>667</v>
      </c>
      <c r="Y53" s="330"/>
      <c r="Z53" s="330"/>
      <c r="AA53" s="330"/>
      <c r="AB53" s="330"/>
      <c r="AC53" s="330"/>
      <c r="AD53" s="329"/>
      <c r="AE53" s="330" t="s">
        <v>667</v>
      </c>
      <c r="AF53" s="330"/>
      <c r="AG53" s="330"/>
      <c r="AH53" s="330"/>
      <c r="AI53" s="330"/>
      <c r="AJ53" s="330"/>
      <c r="AK53" s="329"/>
      <c r="AL53" s="330" t="s">
        <v>667</v>
      </c>
      <c r="AM53" s="330"/>
      <c r="AN53" s="330"/>
      <c r="AO53" s="330"/>
      <c r="AP53" s="330"/>
      <c r="AQ53" s="330"/>
      <c r="AR53" s="329"/>
      <c r="AS53" s="330" t="s">
        <v>667</v>
      </c>
      <c r="AT53" s="330"/>
      <c r="AU53" s="330"/>
      <c r="AV53" s="330"/>
      <c r="AW53" s="330"/>
      <c r="AX53" s="330"/>
      <c r="AY53" s="329"/>
      <c r="AZ53" s="330" t="s">
        <v>667</v>
      </c>
      <c r="BA53" s="330"/>
      <c r="BB53" s="330"/>
      <c r="BC53" s="330"/>
      <c r="BD53" s="330"/>
      <c r="BE53" s="330"/>
      <c r="BF53" s="329"/>
      <c r="BG53" s="330" t="s">
        <v>667</v>
      </c>
      <c r="BH53" s="330"/>
      <c r="BI53" s="330"/>
      <c r="BJ53" s="330"/>
      <c r="BK53" s="330"/>
      <c r="BL53" s="330"/>
      <c r="BM53" s="329"/>
      <c r="BN53" s="330" t="s">
        <v>667</v>
      </c>
      <c r="BO53" s="330"/>
      <c r="BP53" s="330"/>
      <c r="BQ53" s="330"/>
      <c r="BR53" s="330"/>
      <c r="BS53" s="330"/>
      <c r="BT53" s="329"/>
      <c r="BU53" s="330" t="s">
        <v>667</v>
      </c>
      <c r="BV53" s="330"/>
      <c r="BW53" s="330"/>
      <c r="BX53" s="330"/>
      <c r="BY53" s="330"/>
      <c r="BZ53" s="330"/>
      <c r="CA53" s="329"/>
      <c r="CB53" s="187"/>
      <c r="CC53" s="187"/>
    </row>
    <row r="54" spans="3:81" s="321" customFormat="1" ht="11.25" customHeight="1">
      <c r="C54" s="330" t="s">
        <v>668</v>
      </c>
      <c r="D54" s="330"/>
      <c r="E54" s="330"/>
      <c r="F54" s="330"/>
      <c r="G54" s="330"/>
      <c r="H54" s="330"/>
      <c r="I54" s="329"/>
      <c r="J54" s="330" t="s">
        <v>668</v>
      </c>
      <c r="K54" s="330"/>
      <c r="L54" s="330"/>
      <c r="M54" s="330"/>
      <c r="N54" s="330"/>
      <c r="O54" s="330"/>
      <c r="P54" s="329"/>
      <c r="Q54" s="330" t="s">
        <v>668</v>
      </c>
      <c r="R54" s="330"/>
      <c r="S54" s="330"/>
      <c r="T54" s="330"/>
      <c r="U54" s="330"/>
      <c r="V54" s="330"/>
      <c r="W54" s="329"/>
      <c r="X54" s="330" t="s">
        <v>668</v>
      </c>
      <c r="Y54" s="330"/>
      <c r="Z54" s="330"/>
      <c r="AA54" s="330"/>
      <c r="AB54" s="330"/>
      <c r="AC54" s="330"/>
      <c r="AD54" s="329"/>
      <c r="AE54" s="330" t="s">
        <v>668</v>
      </c>
      <c r="AF54" s="330"/>
      <c r="AG54" s="330"/>
      <c r="AH54" s="330"/>
      <c r="AI54" s="330"/>
      <c r="AJ54" s="330"/>
      <c r="AK54" s="329"/>
      <c r="AL54" s="330" t="s">
        <v>668</v>
      </c>
      <c r="AM54" s="330"/>
      <c r="AN54" s="330"/>
      <c r="AO54" s="330"/>
      <c r="AP54" s="330"/>
      <c r="AQ54" s="330"/>
      <c r="AR54" s="329"/>
      <c r="AS54" s="330" t="s">
        <v>668</v>
      </c>
      <c r="AT54" s="330"/>
      <c r="AU54" s="330"/>
      <c r="AV54" s="330"/>
      <c r="AW54" s="330"/>
      <c r="AX54" s="330"/>
      <c r="AY54" s="329"/>
      <c r="AZ54" s="330" t="s">
        <v>668</v>
      </c>
      <c r="BA54" s="330"/>
      <c r="BB54" s="330"/>
      <c r="BC54" s="330"/>
      <c r="BD54" s="330"/>
      <c r="BE54" s="330"/>
      <c r="BF54" s="329"/>
      <c r="BG54" s="330" t="s">
        <v>668</v>
      </c>
      <c r="BH54" s="330"/>
      <c r="BI54" s="330"/>
      <c r="BJ54" s="330"/>
      <c r="BK54" s="330"/>
      <c r="BL54" s="330"/>
      <c r="BM54" s="329"/>
      <c r="BN54" s="330" t="s">
        <v>668</v>
      </c>
      <c r="BO54" s="330"/>
      <c r="BP54" s="330"/>
      <c r="BQ54" s="330"/>
      <c r="BR54" s="330"/>
      <c r="BS54" s="330"/>
      <c r="BT54" s="329"/>
      <c r="BU54" s="330" t="s">
        <v>668</v>
      </c>
      <c r="BV54" s="330"/>
      <c r="BW54" s="330"/>
      <c r="BX54" s="330"/>
      <c r="BY54" s="330"/>
      <c r="BZ54" s="330"/>
      <c r="CA54" s="329"/>
      <c r="CB54" s="187"/>
      <c r="CC54" s="187"/>
    </row>
    <row r="55" spans="3:81" s="321" customFormat="1" ht="12.75">
      <c r="C55" s="330" t="s">
        <v>669</v>
      </c>
      <c r="D55" s="330"/>
      <c r="E55" s="330"/>
      <c r="F55" s="330"/>
      <c r="G55" s="330"/>
      <c r="H55" s="330"/>
      <c r="I55" s="329"/>
      <c r="J55" s="330" t="s">
        <v>669</v>
      </c>
      <c r="K55" s="330"/>
      <c r="L55" s="330"/>
      <c r="M55" s="330"/>
      <c r="N55" s="330"/>
      <c r="O55" s="330"/>
      <c r="P55" s="329"/>
      <c r="Q55" s="330" t="s">
        <v>669</v>
      </c>
      <c r="R55" s="330"/>
      <c r="S55" s="330"/>
      <c r="T55" s="330"/>
      <c r="U55" s="330"/>
      <c r="V55" s="330"/>
      <c r="W55" s="329"/>
      <c r="X55" s="330" t="s">
        <v>669</v>
      </c>
      <c r="Y55" s="330"/>
      <c r="Z55" s="330"/>
      <c r="AA55" s="330"/>
      <c r="AB55" s="330"/>
      <c r="AC55" s="330"/>
      <c r="AD55" s="329"/>
      <c r="AE55" s="330" t="s">
        <v>669</v>
      </c>
      <c r="AF55" s="330"/>
      <c r="AG55" s="330"/>
      <c r="AH55" s="330"/>
      <c r="AI55" s="330"/>
      <c r="AJ55" s="330"/>
      <c r="AK55" s="329"/>
      <c r="AL55" s="330" t="s">
        <v>669</v>
      </c>
      <c r="AM55" s="330"/>
      <c r="AN55" s="330"/>
      <c r="AO55" s="330"/>
      <c r="AP55" s="330"/>
      <c r="AQ55" s="330"/>
      <c r="AR55" s="329"/>
      <c r="AS55" s="330" t="s">
        <v>669</v>
      </c>
      <c r="AT55" s="330"/>
      <c r="AU55" s="330"/>
      <c r="AV55" s="330"/>
      <c r="AW55" s="330"/>
      <c r="AX55" s="330"/>
      <c r="AY55" s="329"/>
      <c r="AZ55" s="330" t="s">
        <v>669</v>
      </c>
      <c r="BA55" s="330"/>
      <c r="BB55" s="330"/>
      <c r="BC55" s="330"/>
      <c r="BD55" s="330"/>
      <c r="BE55" s="330"/>
      <c r="BF55" s="329"/>
      <c r="BG55" s="330" t="s">
        <v>669</v>
      </c>
      <c r="BH55" s="330"/>
      <c r="BI55" s="330"/>
      <c r="BJ55" s="330"/>
      <c r="BK55" s="330"/>
      <c r="BL55" s="330"/>
      <c r="BM55" s="329"/>
      <c r="BN55" s="330" t="s">
        <v>669</v>
      </c>
      <c r="BO55" s="330"/>
      <c r="BP55" s="330"/>
      <c r="BQ55" s="330"/>
      <c r="BR55" s="330"/>
      <c r="BS55" s="330"/>
      <c r="BT55" s="329"/>
      <c r="BU55" s="330" t="s">
        <v>669</v>
      </c>
      <c r="BV55" s="330"/>
      <c r="BW55" s="330"/>
      <c r="BX55" s="330"/>
      <c r="BY55" s="330"/>
      <c r="BZ55" s="330"/>
      <c r="CA55" s="329"/>
      <c r="CB55" s="187"/>
      <c r="CC55" s="187"/>
    </row>
    <row r="56" spans="1:79" s="321" customFormat="1" ht="12.75">
      <c r="A56" s="208"/>
      <c r="B56" s="208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</row>
    <row r="57" spans="1:79" s="321" customFormat="1" ht="12.75">
      <c r="A57" s="208"/>
      <c r="B57" s="208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7"/>
      <c r="BO57" s="187"/>
      <c r="BP57" s="187"/>
      <c r="BQ57" s="187"/>
      <c r="BR57" s="187"/>
      <c r="BS57" s="187"/>
      <c r="BT57" s="187"/>
      <c r="BU57" s="187"/>
      <c r="BV57" s="187"/>
      <c r="BW57" s="187"/>
      <c r="BX57" s="187"/>
      <c r="BY57" s="187"/>
      <c r="BZ57" s="187"/>
      <c r="CA57" s="187"/>
    </row>
    <row r="58" spans="1:79" ht="12.75">
      <c r="A58"/>
      <c r="B58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</row>
    <row r="59" spans="1:79" ht="12.75">
      <c r="A59"/>
      <c r="B59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</row>
    <row r="61" spans="1:79" ht="12.75">
      <c r="A61" s="186" t="s">
        <v>198</v>
      </c>
      <c r="C61" s="10">
        <v>1010545</v>
      </c>
      <c r="D61" s="10">
        <v>3669458</v>
      </c>
      <c r="E61" s="10">
        <v>1195883</v>
      </c>
      <c r="F61" s="10">
        <v>707550</v>
      </c>
      <c r="G61" s="10">
        <v>739325</v>
      </c>
      <c r="H61" s="10">
        <v>64506</v>
      </c>
      <c r="I61" s="10">
        <v>350842</v>
      </c>
      <c r="J61" s="10">
        <v>527647</v>
      </c>
      <c r="K61" s="10">
        <v>203250</v>
      </c>
      <c r="L61" s="10">
        <v>95981</v>
      </c>
      <c r="M61" s="10">
        <v>455291</v>
      </c>
      <c r="N61" s="10">
        <v>185718</v>
      </c>
      <c r="O61" s="10">
        <v>57262</v>
      </c>
      <c r="P61" s="10">
        <v>248231</v>
      </c>
      <c r="Q61" s="10">
        <v>256786</v>
      </c>
      <c r="R61" s="10">
        <v>155494</v>
      </c>
      <c r="S61" s="10">
        <v>45284</v>
      </c>
      <c r="T61" s="10">
        <v>175347</v>
      </c>
      <c r="U61" s="10">
        <v>112838</v>
      </c>
      <c r="V61" s="10">
        <v>123747</v>
      </c>
      <c r="W61" s="10">
        <v>231787</v>
      </c>
      <c r="X61" s="10">
        <v>22569</v>
      </c>
      <c r="Y61" s="10">
        <v>94620</v>
      </c>
      <c r="Z61" s="10">
        <v>22266</v>
      </c>
      <c r="AA61" s="10">
        <v>9220</v>
      </c>
      <c r="AB61" s="10">
        <v>563299</v>
      </c>
      <c r="AC61" s="10">
        <v>102886</v>
      </c>
      <c r="AD61" s="10">
        <v>94909</v>
      </c>
      <c r="AE61" s="10">
        <v>98108</v>
      </c>
      <c r="AF61" s="10">
        <v>35741</v>
      </c>
      <c r="AG61" s="10">
        <v>27916</v>
      </c>
      <c r="AH61" s="10">
        <v>10383</v>
      </c>
      <c r="AI61" s="10">
        <v>57221</v>
      </c>
      <c r="AJ61" s="10">
        <v>28055</v>
      </c>
      <c r="AK61" s="10">
        <v>24090</v>
      </c>
      <c r="AL61" s="10">
        <v>18270</v>
      </c>
      <c r="AM61" s="10">
        <v>11115</v>
      </c>
      <c r="AN61" s="10">
        <v>62305</v>
      </c>
      <c r="AO61" s="10">
        <v>34234</v>
      </c>
      <c r="AP61" s="10">
        <v>4693</v>
      </c>
      <c r="AQ61" s="10">
        <v>27016</v>
      </c>
      <c r="AR61" s="10">
        <v>17127</v>
      </c>
      <c r="AS61" s="10">
        <v>74293</v>
      </c>
      <c r="AT61" s="10">
        <v>6503</v>
      </c>
      <c r="AU61" s="10">
        <v>24543</v>
      </c>
      <c r="AV61" s="10">
        <v>0</v>
      </c>
      <c r="AW61" s="10">
        <v>38949</v>
      </c>
      <c r="AX61" s="10">
        <v>32621</v>
      </c>
      <c r="AY61" s="10">
        <v>28809</v>
      </c>
      <c r="AZ61" s="10">
        <v>37606</v>
      </c>
      <c r="BA61" s="10">
        <v>32209</v>
      </c>
      <c r="BB61" s="10">
        <v>5406</v>
      </c>
      <c r="BC61" s="10">
        <v>26134</v>
      </c>
      <c r="BD61" s="10">
        <v>3920</v>
      </c>
      <c r="BE61" s="10">
        <v>6536</v>
      </c>
      <c r="BF61" s="10">
        <v>85367</v>
      </c>
      <c r="BG61" s="10">
        <v>16772</v>
      </c>
      <c r="BH61" s="10">
        <v>0</v>
      </c>
      <c r="BI61" s="10">
        <v>8465</v>
      </c>
      <c r="BJ61" s="10">
        <v>6801</v>
      </c>
      <c r="BK61" s="10">
        <v>141.804</v>
      </c>
      <c r="BL61" s="10">
        <v>31536</v>
      </c>
      <c r="BM61" s="10">
        <v>4838</v>
      </c>
      <c r="BN61" s="10">
        <v>1279</v>
      </c>
      <c r="BO61" s="10">
        <v>133921</v>
      </c>
      <c r="BP61" s="10">
        <v>23857</v>
      </c>
      <c r="BQ61" s="10"/>
      <c r="BR61" s="10"/>
      <c r="BS61" s="10"/>
      <c r="BT61" s="10">
        <f>SUM(C61:BQ61)</f>
        <v>12609321.804</v>
      </c>
      <c r="BU61" s="10">
        <f>SUM(D61+Q61+V61+W61+AB61+AE61+AG61+AO61+AQ61+AS61+AX61+BC61+BE61+BF61+BI61+BL61+BM61+BO61+BP61)</f>
        <v>5459919</v>
      </c>
      <c r="BV61" s="10">
        <f>SUM(E61+G61+I61+K61+L61+N61+P61+R61+T61+Y61+AJ61+AK61+AU61)</f>
        <v>3521379</v>
      </c>
      <c r="BW61" s="10">
        <f aca="true" t="shared" si="9" ref="BW61:BW67">SUM(C61+F61+H61+J61+M61+O61+S61+U61+AC61+AD61+AF61+AI61+AL61+AM61+AN61+AV61+AW61+AY61+AZ61+BA61+BD61+BG61+BN61)</f>
        <v>3522914</v>
      </c>
      <c r="BX61" s="10">
        <f>SUM(BU61:BW61)</f>
        <v>12504212</v>
      </c>
      <c r="BY61" s="10">
        <f>SUM(X61+Z61+AA61+AH61+AP61+AR61+AT61+BB61+BH61+BJ61+BK61)</f>
        <v>105109.804</v>
      </c>
      <c r="BZ61" s="10"/>
      <c r="CA61" s="10">
        <f>SUM(BX61:BY61)</f>
        <v>12609321.804</v>
      </c>
    </row>
    <row r="62" spans="72:75" ht="12.75">
      <c r="BT62" s="10">
        <f aca="true" t="shared" si="10" ref="BT62:BT67">SUM(C62:BQ62)</f>
        <v>0</v>
      </c>
      <c r="BU62" s="10"/>
      <c r="BW62" s="10">
        <f t="shared" si="9"/>
        <v>0</v>
      </c>
    </row>
    <row r="63" spans="1:79" ht="12.75">
      <c r="A63" s="100" t="s">
        <v>199</v>
      </c>
      <c r="C63" s="187">
        <f>C61*(C25/100)</f>
        <v>585105.5549999999</v>
      </c>
      <c r="D63" s="187">
        <f>D61*(D25/100)</f>
        <v>2553942.7679999997</v>
      </c>
      <c r="E63" s="187">
        <f aca="true" t="shared" si="11" ref="E63:BP63">E61*(E25/100)</f>
        <v>705570.97</v>
      </c>
      <c r="F63" s="187">
        <f t="shared" si="11"/>
        <v>268869</v>
      </c>
      <c r="G63" s="187">
        <f t="shared" si="11"/>
        <v>433983.7750000001</v>
      </c>
      <c r="H63" s="187">
        <f t="shared" si="11"/>
        <v>28924.490400000002</v>
      </c>
      <c r="I63" s="187">
        <f t="shared" si="11"/>
        <v>178824.1674</v>
      </c>
      <c r="J63" s="187">
        <f t="shared" si="11"/>
        <v>366609.13560000004</v>
      </c>
      <c r="K63" s="187">
        <f t="shared" si="11"/>
        <v>77844.74999999999</v>
      </c>
      <c r="L63" s="187">
        <f t="shared" si="11"/>
        <v>35800.913</v>
      </c>
      <c r="M63" s="187">
        <f t="shared" si="11"/>
        <v>296030.2082</v>
      </c>
      <c r="N63" s="187">
        <f t="shared" si="11"/>
        <v>71129.99399999999</v>
      </c>
      <c r="O63" s="187">
        <f t="shared" si="11"/>
        <v>36865.27559999999</v>
      </c>
      <c r="P63" s="187">
        <f t="shared" si="11"/>
        <v>108725.17799999999</v>
      </c>
      <c r="Q63" s="187">
        <f t="shared" si="11"/>
        <v>187710.566</v>
      </c>
      <c r="R63" s="187">
        <f t="shared" si="11"/>
        <v>53645.42999999999</v>
      </c>
      <c r="S63" s="187">
        <f t="shared" si="11"/>
        <v>35321.520000000004</v>
      </c>
      <c r="T63" s="187">
        <f t="shared" si="11"/>
        <v>85218.64199999999</v>
      </c>
      <c r="U63" s="187">
        <f t="shared" si="11"/>
        <v>78185.4502</v>
      </c>
      <c r="V63" s="187">
        <f t="shared" si="11"/>
        <v>85942.2915</v>
      </c>
      <c r="W63" s="187">
        <f t="shared" si="11"/>
        <v>207912.939</v>
      </c>
      <c r="X63" s="187">
        <f t="shared" si="11"/>
        <v>22569</v>
      </c>
      <c r="Y63" s="187">
        <f t="shared" si="11"/>
        <v>45966.396</v>
      </c>
      <c r="Z63" s="187">
        <f t="shared" si="11"/>
        <v>19349.154000000002</v>
      </c>
      <c r="AA63" s="187">
        <f t="shared" si="11"/>
        <v>7597.280000000001</v>
      </c>
      <c r="AB63" s="187">
        <f t="shared" si="11"/>
        <v>370200.1028</v>
      </c>
      <c r="AC63" s="187">
        <f t="shared" si="11"/>
        <v>44940.6048</v>
      </c>
      <c r="AD63" s="187">
        <f t="shared" si="11"/>
        <v>54098.13</v>
      </c>
      <c r="AE63" s="187">
        <f t="shared" si="11"/>
        <v>65830.468</v>
      </c>
      <c r="AF63" s="187">
        <f t="shared" si="11"/>
        <v>19586.068</v>
      </c>
      <c r="AG63" s="187">
        <f t="shared" si="11"/>
        <v>24147.34</v>
      </c>
      <c r="AH63" s="187">
        <f t="shared" si="11"/>
        <v>10318.625399999999</v>
      </c>
      <c r="AI63" s="187">
        <f t="shared" si="11"/>
        <v>44809.765100000004</v>
      </c>
      <c r="AJ63" s="187">
        <f t="shared" si="11"/>
        <v>11390.33</v>
      </c>
      <c r="AK63" s="187">
        <f t="shared" si="11"/>
        <v>13080.869999999999</v>
      </c>
      <c r="AL63" s="187">
        <f t="shared" si="11"/>
        <v>15220.737000000001</v>
      </c>
      <c r="AM63" s="187">
        <f t="shared" si="11"/>
        <v>6618.982499999999</v>
      </c>
      <c r="AN63" s="187">
        <f t="shared" si="11"/>
        <v>44984.21</v>
      </c>
      <c r="AO63" s="187">
        <f t="shared" si="11"/>
        <v>24528.661</v>
      </c>
      <c r="AP63" s="187">
        <f t="shared" si="11"/>
        <v>4693</v>
      </c>
      <c r="AQ63" s="187">
        <f t="shared" si="11"/>
        <v>19883.775999999998</v>
      </c>
      <c r="AR63" s="187">
        <f t="shared" si="11"/>
        <v>17127</v>
      </c>
      <c r="AS63" s="187">
        <f t="shared" si="11"/>
        <v>46603.9989</v>
      </c>
      <c r="AT63" s="187">
        <f t="shared" si="11"/>
        <v>3838.7209000000003</v>
      </c>
      <c r="AU63" s="187">
        <f t="shared" si="11"/>
        <v>9179.082</v>
      </c>
      <c r="AV63" s="187">
        <f t="shared" si="11"/>
        <v>0</v>
      </c>
      <c r="AW63" s="187">
        <f t="shared" si="11"/>
        <v>29562.291</v>
      </c>
      <c r="AX63" s="187">
        <f t="shared" si="11"/>
        <v>18691.833</v>
      </c>
      <c r="AY63" s="187">
        <f t="shared" si="11"/>
        <v>21088.188</v>
      </c>
      <c r="AZ63" s="187">
        <f t="shared" si="11"/>
        <v>30069.7576</v>
      </c>
      <c r="BA63" s="187">
        <f t="shared" si="11"/>
        <v>21257.940000000002</v>
      </c>
      <c r="BB63" s="187">
        <f t="shared" si="11"/>
        <v>5406</v>
      </c>
      <c r="BC63" s="187">
        <f t="shared" si="11"/>
        <v>19103.953999999998</v>
      </c>
      <c r="BD63" s="187">
        <f t="shared" si="11"/>
        <v>3160.304</v>
      </c>
      <c r="BE63" s="187">
        <f t="shared" si="11"/>
        <v>4313.76</v>
      </c>
      <c r="BF63" s="187">
        <f t="shared" si="11"/>
        <v>65476.489</v>
      </c>
      <c r="BG63" s="187">
        <f t="shared" si="11"/>
        <v>7290.7883999999995</v>
      </c>
      <c r="BH63" s="187">
        <f t="shared" si="11"/>
        <v>0</v>
      </c>
      <c r="BI63" s="187">
        <f t="shared" si="11"/>
        <v>6467.26</v>
      </c>
      <c r="BJ63" s="187">
        <f t="shared" si="11"/>
        <v>3280.8024</v>
      </c>
      <c r="BK63" s="187">
        <f t="shared" si="11"/>
        <v>141.804</v>
      </c>
      <c r="BL63" s="187">
        <f t="shared" si="11"/>
        <v>18133.199999999997</v>
      </c>
      <c r="BM63" s="187">
        <f t="shared" si="11"/>
        <v>2902.7999999999997</v>
      </c>
      <c r="BN63" s="187">
        <f t="shared" si="11"/>
        <v>1279</v>
      </c>
      <c r="BO63" s="187">
        <f t="shared" si="11"/>
        <v>62206.304500000006</v>
      </c>
      <c r="BP63" s="187">
        <f t="shared" si="11"/>
        <v>12639.438599999998</v>
      </c>
      <c r="BQ63" s="187"/>
      <c r="BR63" s="187"/>
      <c r="BS63" s="187"/>
      <c r="BT63" s="10">
        <f t="shared" si="10"/>
        <v>7761197.235799998</v>
      </c>
      <c r="BU63" s="10">
        <f>SUM(D63+Q63+V63+W63+AB63+AE63+AG63+AO63+AQ63+AS63+AX63+BC63+BE63+BF63+BI63+BL63+BM63+BO63+BP63)</f>
        <v>3796637.9502999987</v>
      </c>
      <c r="BV63" s="187">
        <f>SUM(E63+G63+I63+K63+L63+N63+P63+R63+T63+Y63+AJ63+AK63+AU63)</f>
        <v>1830360.4974</v>
      </c>
      <c r="BW63" s="10">
        <f t="shared" si="9"/>
        <v>2039877.4013999996</v>
      </c>
      <c r="BX63" s="187">
        <f>SUM(BU63:BW63)</f>
        <v>7666875.849099998</v>
      </c>
      <c r="BY63" s="187">
        <f>SUM(X63+Z63+AA63+AH63+AP63+AR63+AT63+BB63+BH63+BJ63+BK63)</f>
        <v>94321.3867</v>
      </c>
      <c r="BZ63" s="187"/>
      <c r="CA63" s="187">
        <f>SUM(BX63:BY63)</f>
        <v>7761197.235799998</v>
      </c>
    </row>
    <row r="64" spans="1:79" ht="12.75">
      <c r="A64" s="100" t="s">
        <v>200</v>
      </c>
      <c r="C64" s="187">
        <f>C61*(C26/100)</f>
        <v>268804.97000000003</v>
      </c>
      <c r="D64" s="187">
        <f aca="true" t="shared" si="12" ref="D64:BO64">D61*(D26/100)</f>
        <v>132100.488</v>
      </c>
      <c r="E64" s="187">
        <f t="shared" si="12"/>
        <v>370723.73</v>
      </c>
      <c r="F64" s="187">
        <f t="shared" si="12"/>
        <v>311322</v>
      </c>
      <c r="G64" s="187">
        <f t="shared" si="12"/>
        <v>152300.95</v>
      </c>
      <c r="H64" s="187">
        <f t="shared" si="12"/>
        <v>24376.8174</v>
      </c>
      <c r="I64" s="187">
        <f t="shared" si="12"/>
        <v>120794.9006</v>
      </c>
      <c r="J64" s="187">
        <f t="shared" si="12"/>
        <v>66325.2279</v>
      </c>
      <c r="K64" s="187">
        <f t="shared" si="12"/>
        <v>92478.75</v>
      </c>
      <c r="L64" s="187">
        <f t="shared" si="12"/>
        <v>37528.571</v>
      </c>
      <c r="M64" s="187">
        <f t="shared" si="12"/>
        <v>103077.8824</v>
      </c>
      <c r="N64" s="187">
        <f t="shared" si="12"/>
        <v>81344.484</v>
      </c>
      <c r="O64" s="187">
        <f t="shared" si="12"/>
        <v>8348.7996</v>
      </c>
      <c r="P64" s="187">
        <f t="shared" si="12"/>
        <v>105324.4133</v>
      </c>
      <c r="Q64" s="187">
        <f t="shared" si="12"/>
        <v>17461.448</v>
      </c>
      <c r="R64" s="187">
        <f t="shared" si="12"/>
        <v>74792.614</v>
      </c>
      <c r="S64" s="187">
        <f t="shared" si="12"/>
        <v>2717.04</v>
      </c>
      <c r="T64" s="187">
        <f t="shared" si="12"/>
        <v>66807.207</v>
      </c>
      <c r="U64" s="187">
        <f t="shared" si="12"/>
        <v>21563.3418</v>
      </c>
      <c r="V64" s="187">
        <f t="shared" si="12"/>
        <v>2202.6965999999998</v>
      </c>
      <c r="W64" s="187">
        <f t="shared" si="12"/>
        <v>19933.681999999997</v>
      </c>
      <c r="X64" s="187">
        <f t="shared" si="12"/>
        <v>0</v>
      </c>
      <c r="Y64" s="187">
        <f t="shared" si="12"/>
        <v>35586.582</v>
      </c>
      <c r="Z64" s="187">
        <f t="shared" si="12"/>
        <v>1335.96</v>
      </c>
      <c r="AA64" s="187">
        <f t="shared" si="12"/>
        <v>673.06</v>
      </c>
      <c r="AB64" s="187">
        <f t="shared" si="12"/>
        <v>33403.6307</v>
      </c>
      <c r="AC64" s="187">
        <f t="shared" si="12"/>
        <v>39467.0696</v>
      </c>
      <c r="AD64" s="187">
        <f t="shared" si="12"/>
        <v>19930.89</v>
      </c>
      <c r="AE64" s="187">
        <f t="shared" si="12"/>
        <v>9025.936</v>
      </c>
      <c r="AF64" s="187">
        <f t="shared" si="12"/>
        <v>7148.200000000001</v>
      </c>
      <c r="AG64" s="187">
        <f t="shared" si="12"/>
        <v>334.992</v>
      </c>
      <c r="AH64" s="187">
        <f t="shared" si="12"/>
        <v>64.3746</v>
      </c>
      <c r="AI64" s="187">
        <f t="shared" si="12"/>
        <v>108.7199</v>
      </c>
      <c r="AJ64" s="187">
        <f t="shared" si="12"/>
        <v>12007.539999999999</v>
      </c>
      <c r="AK64" s="187">
        <f t="shared" si="12"/>
        <v>7901.519999999999</v>
      </c>
      <c r="AL64" s="187">
        <f t="shared" si="12"/>
        <v>1607.7600000000002</v>
      </c>
      <c r="AM64" s="187">
        <f t="shared" si="12"/>
        <v>1635.0165000000002</v>
      </c>
      <c r="AN64" s="187">
        <f t="shared" si="12"/>
        <v>7227.379999999999</v>
      </c>
      <c r="AO64" s="187">
        <f t="shared" si="12"/>
        <v>1403.5939999999998</v>
      </c>
      <c r="AP64" s="187">
        <f t="shared" si="12"/>
        <v>0</v>
      </c>
      <c r="AQ64" s="187">
        <f t="shared" si="12"/>
        <v>1999.1840000000002</v>
      </c>
      <c r="AR64" s="187">
        <f t="shared" si="12"/>
        <v>0</v>
      </c>
      <c r="AS64" s="187">
        <f t="shared" si="12"/>
        <v>5245.0858</v>
      </c>
      <c r="AT64" s="187">
        <f t="shared" si="12"/>
        <v>854.4942000000001</v>
      </c>
      <c r="AU64" s="187">
        <f t="shared" si="12"/>
        <v>11780.64</v>
      </c>
      <c r="AV64" s="187">
        <f t="shared" si="12"/>
        <v>0</v>
      </c>
      <c r="AW64" s="187">
        <f t="shared" si="12"/>
        <v>7322.412</v>
      </c>
      <c r="AX64" s="187">
        <f t="shared" si="12"/>
        <v>6948.273</v>
      </c>
      <c r="AY64" s="187">
        <f t="shared" si="12"/>
        <v>86.427</v>
      </c>
      <c r="AZ64" s="187">
        <f t="shared" si="12"/>
        <v>1131.9406</v>
      </c>
      <c r="BA64" s="187">
        <f t="shared" si="12"/>
        <v>4187.17</v>
      </c>
      <c r="BB64" s="187">
        <f t="shared" si="12"/>
        <v>0</v>
      </c>
      <c r="BC64" s="187">
        <f t="shared" si="12"/>
        <v>705.618</v>
      </c>
      <c r="BD64" s="187">
        <f t="shared" si="12"/>
        <v>714.6160000000001</v>
      </c>
      <c r="BE64" s="187">
        <f t="shared" si="12"/>
        <v>457.52000000000004</v>
      </c>
      <c r="BF64" s="187">
        <f t="shared" si="12"/>
        <v>2902.478</v>
      </c>
      <c r="BG64" s="187">
        <f t="shared" si="12"/>
        <v>4838.722000000001</v>
      </c>
      <c r="BH64" s="187">
        <f t="shared" si="12"/>
        <v>0</v>
      </c>
      <c r="BI64" s="187">
        <f t="shared" si="12"/>
        <v>643.34</v>
      </c>
      <c r="BJ64" s="187">
        <f t="shared" si="12"/>
        <v>0</v>
      </c>
      <c r="BK64" s="187">
        <f t="shared" si="12"/>
        <v>0</v>
      </c>
      <c r="BL64" s="187">
        <f t="shared" si="12"/>
        <v>2743.6319999999996</v>
      </c>
      <c r="BM64" s="187">
        <f t="shared" si="12"/>
        <v>0</v>
      </c>
      <c r="BN64" s="187">
        <f t="shared" si="12"/>
        <v>0</v>
      </c>
      <c r="BO64" s="187">
        <f t="shared" si="12"/>
        <v>6093.4055</v>
      </c>
      <c r="BP64" s="187">
        <f>BP61*(BP26/100)</f>
        <v>0</v>
      </c>
      <c r="BQ64" s="187"/>
      <c r="BR64" s="187"/>
      <c r="BS64" s="187"/>
      <c r="BT64" s="10">
        <f t="shared" si="10"/>
        <v>2317847.1970000006</v>
      </c>
      <c r="BU64" s="10">
        <f>SUM(D64+Q64+V64+W64+AB64+AE64+AG64+AO64+AQ64+AS64+AX64+BC64+BE64+BF64+BI64+BL64+BM64+BO64+BP64)</f>
        <v>243605.0036</v>
      </c>
      <c r="BV64" s="187">
        <f>SUM(E64+G64+I64+K64+L64+N64+P64+R64+T64+Y64+AJ64+AK64+AU64)</f>
        <v>1169371.9018999997</v>
      </c>
      <c r="BW64" s="10">
        <f t="shared" si="9"/>
        <v>901942.4027000003</v>
      </c>
      <c r="BX64" s="187">
        <f>SUM(BU64:BW64)</f>
        <v>2314919.3082</v>
      </c>
      <c r="BY64" s="187">
        <f>SUM(X64+Z64+AA64+AH64+AP64+AR64+AT64+BB64+BH64+BJ64+BK64)</f>
        <v>2927.8888</v>
      </c>
      <c r="BZ64" s="187"/>
      <c r="CA64" s="187">
        <f>SUM(BX64:BY64)</f>
        <v>2317847.1969999997</v>
      </c>
    </row>
    <row r="65" spans="1:79" ht="12.75">
      <c r="A65" s="100" t="s">
        <v>201</v>
      </c>
      <c r="C65" s="187">
        <f>C61*(C27/100)</f>
        <v>131370.85</v>
      </c>
      <c r="D65" s="187">
        <f aca="true" t="shared" si="13" ref="D65:BO65">D61*(D27/100)</f>
        <v>968736.912</v>
      </c>
      <c r="E65" s="187">
        <f t="shared" si="13"/>
        <v>95670.64</v>
      </c>
      <c r="F65" s="187">
        <f t="shared" si="13"/>
        <v>91981.5</v>
      </c>
      <c r="G65" s="187">
        <f t="shared" si="13"/>
        <v>131599.85</v>
      </c>
      <c r="H65" s="187">
        <f t="shared" si="13"/>
        <v>8701.8594</v>
      </c>
      <c r="I65" s="187">
        <f t="shared" si="13"/>
        <v>38241.778</v>
      </c>
      <c r="J65" s="187">
        <f t="shared" si="13"/>
        <v>92602.0485</v>
      </c>
      <c r="K65" s="187">
        <f t="shared" si="13"/>
        <v>24999.750000000004</v>
      </c>
      <c r="L65" s="187">
        <f t="shared" si="13"/>
        <v>19196.2</v>
      </c>
      <c r="M65" s="187">
        <f t="shared" si="13"/>
        <v>40611.9572</v>
      </c>
      <c r="N65" s="187">
        <f t="shared" si="13"/>
        <v>24329.058</v>
      </c>
      <c r="O65" s="187">
        <f t="shared" si="13"/>
        <v>11629.912199999999</v>
      </c>
      <c r="P65" s="187">
        <f t="shared" si="13"/>
        <v>24798.2769</v>
      </c>
      <c r="Q65" s="187">
        <f t="shared" si="13"/>
        <v>51100.414</v>
      </c>
      <c r="R65" s="187">
        <f t="shared" si="13"/>
        <v>20836.196</v>
      </c>
      <c r="S65" s="187">
        <f t="shared" si="13"/>
        <v>6792.599999999999</v>
      </c>
      <c r="T65" s="187">
        <f t="shared" si="13"/>
        <v>17184.006</v>
      </c>
      <c r="U65" s="187">
        <f t="shared" si="13"/>
        <v>12310.6258</v>
      </c>
      <c r="V65" s="187">
        <f t="shared" si="13"/>
        <v>35218.3962</v>
      </c>
      <c r="W65" s="187">
        <f t="shared" si="13"/>
        <v>2317.87</v>
      </c>
      <c r="X65" s="187">
        <f t="shared" si="13"/>
        <v>0</v>
      </c>
      <c r="Y65" s="187">
        <f t="shared" si="13"/>
        <v>8913.204</v>
      </c>
      <c r="Z65" s="187">
        <f t="shared" si="13"/>
        <v>1536.354</v>
      </c>
      <c r="AA65" s="187">
        <f t="shared" si="13"/>
        <v>949.6600000000001</v>
      </c>
      <c r="AB65" s="187">
        <f t="shared" si="13"/>
        <v>158681.3283</v>
      </c>
      <c r="AC65" s="187">
        <f t="shared" si="13"/>
        <v>12891.6158</v>
      </c>
      <c r="AD65" s="187">
        <f t="shared" si="13"/>
        <v>19835.981</v>
      </c>
      <c r="AE65" s="187">
        <f t="shared" si="13"/>
        <v>22761.055999999997</v>
      </c>
      <c r="AF65" s="187">
        <f t="shared" si="13"/>
        <v>8506.358</v>
      </c>
      <c r="AG65" s="187">
        <f t="shared" si="13"/>
        <v>3405.752</v>
      </c>
      <c r="AH65" s="187">
        <f t="shared" si="13"/>
        <v>0</v>
      </c>
      <c r="AI65" s="187">
        <f t="shared" si="13"/>
        <v>12159.4625</v>
      </c>
      <c r="AJ65" s="187">
        <f t="shared" si="13"/>
        <v>3759.3700000000003</v>
      </c>
      <c r="AK65" s="187">
        <f t="shared" si="13"/>
        <v>2481.27</v>
      </c>
      <c r="AL65" s="187">
        <f t="shared" si="13"/>
        <v>1441.503</v>
      </c>
      <c r="AM65" s="187">
        <f t="shared" si="13"/>
        <v>2805.4259999999995</v>
      </c>
      <c r="AN65" s="187">
        <f t="shared" si="13"/>
        <v>10031.105</v>
      </c>
      <c r="AO65" s="187">
        <f t="shared" si="13"/>
        <v>8301.744999999999</v>
      </c>
      <c r="AP65" s="187">
        <f t="shared" si="13"/>
        <v>0</v>
      </c>
      <c r="AQ65" s="187">
        <f t="shared" si="13"/>
        <v>4943.928</v>
      </c>
      <c r="AR65" s="187">
        <f t="shared" si="13"/>
        <v>0</v>
      </c>
      <c r="AS65" s="187">
        <f t="shared" si="13"/>
        <v>22139.314</v>
      </c>
      <c r="AT65" s="187">
        <f t="shared" si="13"/>
        <v>1533.4073999999998</v>
      </c>
      <c r="AU65" s="187">
        <f t="shared" si="13"/>
        <v>2601.558</v>
      </c>
      <c r="AV65" s="187">
        <f t="shared" si="13"/>
        <v>0</v>
      </c>
      <c r="AW65" s="187">
        <f t="shared" si="13"/>
        <v>1947.45</v>
      </c>
      <c r="AX65" s="187">
        <f t="shared" si="13"/>
        <v>6915.652</v>
      </c>
      <c r="AY65" s="187">
        <f t="shared" si="13"/>
        <v>7346.295</v>
      </c>
      <c r="AZ65" s="187">
        <f t="shared" si="13"/>
        <v>6404.3018</v>
      </c>
      <c r="BA65" s="187">
        <f t="shared" si="13"/>
        <v>6763.889999999999</v>
      </c>
      <c r="BB65" s="187">
        <f t="shared" si="13"/>
        <v>0</v>
      </c>
      <c r="BC65" s="187">
        <f t="shared" si="13"/>
        <v>6246.026</v>
      </c>
      <c r="BD65" s="187">
        <f t="shared" si="13"/>
        <v>45.08</v>
      </c>
      <c r="BE65" s="187">
        <f t="shared" si="13"/>
        <v>1634</v>
      </c>
      <c r="BF65" s="187">
        <f t="shared" si="13"/>
        <v>16731.932</v>
      </c>
      <c r="BG65" s="187">
        <f t="shared" si="13"/>
        <v>3486.8988</v>
      </c>
      <c r="BH65" s="187">
        <f t="shared" si="13"/>
        <v>0</v>
      </c>
      <c r="BI65" s="187">
        <f t="shared" si="13"/>
        <v>1354.4</v>
      </c>
      <c r="BJ65" s="187">
        <f t="shared" si="13"/>
        <v>3520.1975999999995</v>
      </c>
      <c r="BK65" s="187">
        <f t="shared" si="13"/>
        <v>0</v>
      </c>
      <c r="BL65" s="187">
        <f t="shared" si="13"/>
        <v>10419.4944</v>
      </c>
      <c r="BM65" s="187">
        <f t="shared" si="13"/>
        <v>1935.2</v>
      </c>
      <c r="BN65" s="187">
        <f t="shared" si="13"/>
        <v>0</v>
      </c>
      <c r="BO65" s="187">
        <f t="shared" si="13"/>
        <v>65219.52700000001</v>
      </c>
      <c r="BP65" s="187">
        <f>BP61*(BP27/100)</f>
        <v>11217.5614</v>
      </c>
      <c r="BQ65" s="187"/>
      <c r="BR65" s="187"/>
      <c r="BS65" s="187"/>
      <c r="BT65" s="10">
        <f t="shared" si="10"/>
        <v>2311098.0042000012</v>
      </c>
      <c r="BU65" s="10">
        <f>SUM(D65+Q65+V65+W65+AB65+AE65+AG65+AO65+AQ65+AS65+AX65+BC65+BE65+BF65+BI65+BL65+BM65+BO65+BP65)</f>
        <v>1399280.5083000003</v>
      </c>
      <c r="BV65" s="187">
        <f>SUM(E65+G65+I65+K65+L65+N65+P65+R65+T65+Y65+AJ65+AK65+AU65)</f>
        <v>414611.15690000006</v>
      </c>
      <c r="BW65" s="10">
        <f t="shared" si="9"/>
        <v>489666.7200000001</v>
      </c>
      <c r="BX65" s="187">
        <f>SUM(BU65:BW65)</f>
        <v>2303558.3852000004</v>
      </c>
      <c r="BY65" s="187">
        <f>SUM(X65+Z65+AA65+AH65+AP65+AR65+AT65+BB65+BH65+BJ65+BK65)</f>
        <v>7539.619</v>
      </c>
      <c r="BZ65" s="187"/>
      <c r="CA65" s="187">
        <f>SUM(BX65:BY65)</f>
        <v>2311098.0042000003</v>
      </c>
    </row>
    <row r="66" spans="1:79" ht="12.75">
      <c r="A66" s="100" t="s">
        <v>202</v>
      </c>
      <c r="C66" s="187">
        <f>C61*(C28/100)</f>
        <v>25263.625</v>
      </c>
      <c r="D66" s="187">
        <f aca="true" t="shared" si="14" ref="D66:BO66">D61*(D28/100)</f>
        <v>14677.832</v>
      </c>
      <c r="E66" s="187">
        <f t="shared" si="14"/>
        <v>23917.66</v>
      </c>
      <c r="F66" s="187">
        <f t="shared" si="14"/>
        <v>35377.5</v>
      </c>
      <c r="G66" s="187">
        <f t="shared" si="14"/>
        <v>21440.425</v>
      </c>
      <c r="H66" s="187">
        <f t="shared" si="14"/>
        <v>2502.8328</v>
      </c>
      <c r="I66" s="187">
        <f t="shared" si="14"/>
        <v>12875.901399999999</v>
      </c>
      <c r="J66" s="187">
        <f t="shared" si="14"/>
        <v>2110.588</v>
      </c>
      <c r="K66" s="187">
        <f t="shared" si="14"/>
        <v>7926.75</v>
      </c>
      <c r="L66" s="187">
        <f t="shared" si="14"/>
        <v>3455.3160000000003</v>
      </c>
      <c r="M66" s="187">
        <f t="shared" si="14"/>
        <v>15570.9522</v>
      </c>
      <c r="N66" s="187">
        <f t="shared" si="14"/>
        <v>8914.464</v>
      </c>
      <c r="O66" s="187">
        <f t="shared" si="14"/>
        <v>418.0126</v>
      </c>
      <c r="P66" s="187">
        <f t="shared" si="14"/>
        <v>9383.1318</v>
      </c>
      <c r="Q66" s="187">
        <f t="shared" si="14"/>
        <v>513.572</v>
      </c>
      <c r="R66" s="187">
        <f t="shared" si="14"/>
        <v>6219.76</v>
      </c>
      <c r="S66" s="187">
        <f t="shared" si="14"/>
        <v>452.84000000000003</v>
      </c>
      <c r="T66" s="187">
        <f t="shared" si="14"/>
        <v>6137.145</v>
      </c>
      <c r="U66" s="187">
        <f t="shared" si="14"/>
        <v>744.7308</v>
      </c>
      <c r="V66" s="187">
        <f t="shared" si="14"/>
        <v>371.241</v>
      </c>
      <c r="W66" s="187">
        <f t="shared" si="14"/>
        <v>1622.5089999999998</v>
      </c>
      <c r="X66" s="187">
        <f t="shared" si="14"/>
        <v>0</v>
      </c>
      <c r="Y66" s="187">
        <f t="shared" si="14"/>
        <v>4153.817999999999</v>
      </c>
      <c r="Z66" s="187">
        <f t="shared" si="14"/>
        <v>44.532000000000004</v>
      </c>
      <c r="AA66" s="187">
        <f t="shared" si="14"/>
        <v>0</v>
      </c>
      <c r="AB66" s="187">
        <f t="shared" si="14"/>
        <v>957.6083000000001</v>
      </c>
      <c r="AC66" s="187">
        <f t="shared" si="14"/>
        <v>5596.9984</v>
      </c>
      <c r="AD66" s="187">
        <f t="shared" si="14"/>
        <v>1043.999</v>
      </c>
      <c r="AE66" s="187">
        <f t="shared" si="14"/>
        <v>490.54</v>
      </c>
      <c r="AF66" s="187">
        <f t="shared" si="14"/>
        <v>500.37399999999997</v>
      </c>
      <c r="AG66" s="187">
        <f t="shared" si="14"/>
        <v>25.124399999999998</v>
      </c>
      <c r="AH66" s="187">
        <f t="shared" si="14"/>
        <v>0</v>
      </c>
      <c r="AI66" s="187">
        <f t="shared" si="14"/>
        <v>148.7746</v>
      </c>
      <c r="AJ66" s="187">
        <f t="shared" si="14"/>
        <v>897.76</v>
      </c>
      <c r="AK66" s="187">
        <f t="shared" si="14"/>
        <v>626.34</v>
      </c>
      <c r="AL66" s="187">
        <f t="shared" si="14"/>
        <v>0</v>
      </c>
      <c r="AM66" s="187">
        <f t="shared" si="14"/>
        <v>55.575</v>
      </c>
      <c r="AN66" s="187">
        <f t="shared" si="14"/>
        <v>62.305</v>
      </c>
      <c r="AO66" s="187">
        <f t="shared" si="14"/>
        <v>0</v>
      </c>
      <c r="AP66" s="187">
        <f t="shared" si="14"/>
        <v>0</v>
      </c>
      <c r="AQ66" s="187">
        <f t="shared" si="14"/>
        <v>189.11199999999997</v>
      </c>
      <c r="AR66" s="187">
        <f t="shared" si="14"/>
        <v>0</v>
      </c>
      <c r="AS66" s="187">
        <f t="shared" si="14"/>
        <v>334.31850000000003</v>
      </c>
      <c r="AT66" s="187">
        <f t="shared" si="14"/>
        <v>275.7272</v>
      </c>
      <c r="AU66" s="187">
        <f t="shared" si="14"/>
        <v>981.72</v>
      </c>
      <c r="AV66" s="187">
        <f t="shared" si="14"/>
        <v>0</v>
      </c>
      <c r="AW66" s="187">
        <f t="shared" si="14"/>
        <v>116.84700000000001</v>
      </c>
      <c r="AX66" s="187">
        <f t="shared" si="14"/>
        <v>65.242</v>
      </c>
      <c r="AY66" s="187">
        <f t="shared" si="14"/>
        <v>293.8518</v>
      </c>
      <c r="AZ66" s="187">
        <f t="shared" si="14"/>
        <v>0</v>
      </c>
      <c r="BA66" s="187">
        <f t="shared" si="14"/>
        <v>0</v>
      </c>
      <c r="BB66" s="187">
        <f t="shared" si="14"/>
        <v>0</v>
      </c>
      <c r="BC66" s="187">
        <f t="shared" si="14"/>
        <v>78.402</v>
      </c>
      <c r="BD66" s="187">
        <f t="shared" si="14"/>
        <v>0</v>
      </c>
      <c r="BE66" s="187">
        <f t="shared" si="14"/>
        <v>130.72</v>
      </c>
      <c r="BF66" s="187">
        <f t="shared" si="14"/>
        <v>256.101</v>
      </c>
      <c r="BG66" s="187">
        <f t="shared" si="14"/>
        <v>1152.2364</v>
      </c>
      <c r="BH66" s="187">
        <f t="shared" si="14"/>
        <v>0</v>
      </c>
      <c r="BI66" s="187">
        <f t="shared" si="14"/>
        <v>0</v>
      </c>
      <c r="BJ66" s="187">
        <f t="shared" si="14"/>
        <v>0</v>
      </c>
      <c r="BK66" s="187">
        <f t="shared" si="14"/>
        <v>0</v>
      </c>
      <c r="BL66" s="187">
        <f t="shared" si="14"/>
        <v>236.51999999999998</v>
      </c>
      <c r="BM66" s="187">
        <f t="shared" si="14"/>
        <v>0</v>
      </c>
      <c r="BN66" s="187">
        <f t="shared" si="14"/>
        <v>0</v>
      </c>
      <c r="BO66" s="187">
        <f t="shared" si="14"/>
        <v>401.76300000000003</v>
      </c>
      <c r="BP66" s="187">
        <f>BP61*(BP28/100)</f>
        <v>0</v>
      </c>
      <c r="BQ66" s="187"/>
      <c r="BR66" s="187"/>
      <c r="BS66" s="187"/>
      <c r="BT66" s="10">
        <f t="shared" si="10"/>
        <v>219013.09819999998</v>
      </c>
      <c r="BU66" s="10">
        <f>SUM(D66+Q66+V66+W66+AB66+AE66+AG66+AO66+AQ66+AS66+AX66+BC66+BE66+BF66+BI66+BL66+BM66+BO66+BP66)</f>
        <v>20350.605199999998</v>
      </c>
      <c r="BV66" s="187">
        <f>SUM(E66+G66+I66+K66+L66+N66+P66+R66+T66+Y66+AJ66+AK66+AU66)</f>
        <v>106930.19119999999</v>
      </c>
      <c r="BW66" s="10">
        <f t="shared" si="9"/>
        <v>91412.04259999999</v>
      </c>
      <c r="BX66" s="187">
        <f>SUM(BU66:BW66)</f>
        <v>218692.83899999998</v>
      </c>
      <c r="BY66" s="187">
        <f>SUM(X66+Z66+AA66+AH66+AP66+AR66+AT66+BB66+BH66+BJ66+BK66)</f>
        <v>320.25919999999996</v>
      </c>
      <c r="BZ66" s="187"/>
      <c r="CA66" s="187">
        <f>SUM(BX66:BY66)</f>
        <v>219013.09819999998</v>
      </c>
    </row>
    <row r="67" spans="1:79" ht="12.75">
      <c r="A67" s="186" t="s">
        <v>203</v>
      </c>
      <c r="C67" s="187">
        <f>SUM(C63:C66)</f>
        <v>1010544.9999999999</v>
      </c>
      <c r="D67" s="187">
        <f>SUM(D63:D66)</f>
        <v>3669457.9999999995</v>
      </c>
      <c r="E67" s="187">
        <f aca="true" t="shared" si="15" ref="E67:BP67">SUM(E63:E66)</f>
        <v>1195882.9999999998</v>
      </c>
      <c r="F67" s="187">
        <f t="shared" si="15"/>
        <v>707550</v>
      </c>
      <c r="G67" s="187">
        <f t="shared" si="15"/>
        <v>739325.0000000001</v>
      </c>
      <c r="H67" s="187">
        <f t="shared" si="15"/>
        <v>64506</v>
      </c>
      <c r="I67" s="187">
        <f t="shared" si="15"/>
        <v>350736.74739999993</v>
      </c>
      <c r="J67" s="187">
        <f t="shared" si="15"/>
        <v>527647</v>
      </c>
      <c r="K67" s="187">
        <f t="shared" si="15"/>
        <v>203250</v>
      </c>
      <c r="L67" s="187">
        <f t="shared" si="15"/>
        <v>95981</v>
      </c>
      <c r="M67" s="187">
        <f t="shared" si="15"/>
        <v>455291</v>
      </c>
      <c r="N67" s="187">
        <f t="shared" si="15"/>
        <v>185718</v>
      </c>
      <c r="O67" s="187">
        <f t="shared" si="15"/>
        <v>57261.99999999999</v>
      </c>
      <c r="P67" s="187">
        <f t="shared" si="15"/>
        <v>248230.99999999997</v>
      </c>
      <c r="Q67" s="187">
        <f t="shared" si="15"/>
        <v>256785.99999999997</v>
      </c>
      <c r="R67" s="187">
        <f t="shared" si="15"/>
        <v>155494</v>
      </c>
      <c r="S67" s="187">
        <f t="shared" si="15"/>
        <v>45284</v>
      </c>
      <c r="T67" s="187">
        <f t="shared" si="15"/>
        <v>175346.99999999997</v>
      </c>
      <c r="U67" s="187">
        <f t="shared" si="15"/>
        <v>112804.1486</v>
      </c>
      <c r="V67" s="187">
        <f t="shared" si="15"/>
        <v>123734.6253</v>
      </c>
      <c r="W67" s="187">
        <f t="shared" si="15"/>
        <v>231787</v>
      </c>
      <c r="X67" s="187">
        <f t="shared" si="15"/>
        <v>22569</v>
      </c>
      <c r="Y67" s="187">
        <f t="shared" si="15"/>
        <v>94620</v>
      </c>
      <c r="Z67" s="187">
        <f t="shared" si="15"/>
        <v>22266</v>
      </c>
      <c r="AA67" s="187">
        <f t="shared" si="15"/>
        <v>9220</v>
      </c>
      <c r="AB67" s="187">
        <f t="shared" si="15"/>
        <v>563242.6701</v>
      </c>
      <c r="AC67" s="187">
        <f t="shared" si="15"/>
        <v>102896.2886</v>
      </c>
      <c r="AD67" s="187">
        <f t="shared" si="15"/>
        <v>94908.99999999999</v>
      </c>
      <c r="AE67" s="187">
        <f t="shared" si="15"/>
        <v>98107.99999999999</v>
      </c>
      <c r="AF67" s="187">
        <f t="shared" si="15"/>
        <v>35741.00000000001</v>
      </c>
      <c r="AG67" s="187">
        <f t="shared" si="15"/>
        <v>27913.2084</v>
      </c>
      <c r="AH67" s="187">
        <f t="shared" si="15"/>
        <v>10382.999999999998</v>
      </c>
      <c r="AI67" s="187">
        <f t="shared" si="15"/>
        <v>57226.7221</v>
      </c>
      <c r="AJ67" s="187">
        <f t="shared" si="15"/>
        <v>28054.999999999996</v>
      </c>
      <c r="AK67" s="187">
        <f t="shared" si="15"/>
        <v>24090</v>
      </c>
      <c r="AL67" s="187">
        <f t="shared" si="15"/>
        <v>18270.000000000004</v>
      </c>
      <c r="AM67" s="187">
        <f t="shared" si="15"/>
        <v>11115</v>
      </c>
      <c r="AN67" s="187">
        <f t="shared" si="15"/>
        <v>62304.99999999999</v>
      </c>
      <c r="AO67" s="187">
        <f t="shared" si="15"/>
        <v>34234</v>
      </c>
      <c r="AP67" s="187">
        <f t="shared" si="15"/>
        <v>4693</v>
      </c>
      <c r="AQ67" s="187">
        <f t="shared" si="15"/>
        <v>27016</v>
      </c>
      <c r="AR67" s="187">
        <f t="shared" si="15"/>
        <v>17127</v>
      </c>
      <c r="AS67" s="187">
        <f t="shared" si="15"/>
        <v>74322.71719999998</v>
      </c>
      <c r="AT67" s="187">
        <f t="shared" si="15"/>
        <v>6502.349700000001</v>
      </c>
      <c r="AU67" s="187">
        <f t="shared" si="15"/>
        <v>24543.000000000004</v>
      </c>
      <c r="AV67" s="187">
        <f t="shared" si="15"/>
        <v>0</v>
      </c>
      <c r="AW67" s="187">
        <f t="shared" si="15"/>
        <v>38949</v>
      </c>
      <c r="AX67" s="187">
        <f t="shared" si="15"/>
        <v>32621</v>
      </c>
      <c r="AY67" s="187">
        <f t="shared" si="15"/>
        <v>28814.761799999997</v>
      </c>
      <c r="AZ67" s="187">
        <f t="shared" si="15"/>
        <v>37606</v>
      </c>
      <c r="BA67" s="187">
        <f t="shared" si="15"/>
        <v>32209</v>
      </c>
      <c r="BB67" s="187">
        <f t="shared" si="15"/>
        <v>5406</v>
      </c>
      <c r="BC67" s="187">
        <f t="shared" si="15"/>
        <v>26133.999999999996</v>
      </c>
      <c r="BD67" s="187">
        <f t="shared" si="15"/>
        <v>3920</v>
      </c>
      <c r="BE67" s="187">
        <f t="shared" si="15"/>
        <v>6536.000000000001</v>
      </c>
      <c r="BF67" s="187">
        <f t="shared" si="15"/>
        <v>85367</v>
      </c>
      <c r="BG67" s="187">
        <f t="shared" si="15"/>
        <v>16768.6456</v>
      </c>
      <c r="BH67" s="187">
        <f t="shared" si="15"/>
        <v>0</v>
      </c>
      <c r="BI67" s="187">
        <f t="shared" si="15"/>
        <v>8465</v>
      </c>
      <c r="BJ67" s="187">
        <f t="shared" si="15"/>
        <v>6801</v>
      </c>
      <c r="BK67" s="187">
        <f t="shared" si="15"/>
        <v>141.804</v>
      </c>
      <c r="BL67" s="187">
        <f t="shared" si="15"/>
        <v>31532.846399999995</v>
      </c>
      <c r="BM67" s="187">
        <f t="shared" si="15"/>
        <v>4838</v>
      </c>
      <c r="BN67" s="187">
        <f t="shared" si="15"/>
        <v>1279</v>
      </c>
      <c r="BO67" s="187">
        <f t="shared" si="15"/>
        <v>133921.00000000003</v>
      </c>
      <c r="BP67" s="187">
        <f t="shared" si="15"/>
        <v>23857</v>
      </c>
      <c r="BQ67" s="187"/>
      <c r="BR67" s="187"/>
      <c r="BS67" s="187"/>
      <c r="BT67" s="10">
        <f t="shared" si="10"/>
        <v>12609155.5352</v>
      </c>
      <c r="BU67" s="10">
        <f>SUM(D67+Q67+V67+W67+AB67+AE67+AG67+AO67+AQ67+AS67+AX67+BC67+BE67+BF67+BI67+BL67+BM67+BO67+BP67)</f>
        <v>5459874.067399999</v>
      </c>
      <c r="BV67" s="187">
        <f>SUM(E67+G67+I67+K67+L67+N67+P67+R67+T67+Y67+AJ67+AK67+AU67)</f>
        <v>3521273.7473999998</v>
      </c>
      <c r="BW67" s="10">
        <f t="shared" si="9"/>
        <v>3522898.5667</v>
      </c>
      <c r="BX67" s="187">
        <f>SUM(BU67:BW67)</f>
        <v>12504046.381499998</v>
      </c>
      <c r="BY67" s="187">
        <f>SUM(X67+Z67+AA67+AH67+AP67+AR67+AT67+BB67+BH67+BJ67+BK67)</f>
        <v>105109.15370000001</v>
      </c>
      <c r="BZ67" s="187"/>
      <c r="CA67" s="187">
        <f>SUM(BX67:BY67)</f>
        <v>12609155.535199998</v>
      </c>
    </row>
    <row r="68" spans="3:92" ht="12.75">
      <c r="C68" s="321"/>
      <c r="D68" s="321"/>
      <c r="E68" s="321"/>
      <c r="F68" s="321"/>
      <c r="G68" s="321"/>
      <c r="H68" s="321"/>
      <c r="I68" s="321"/>
      <c r="J68" s="321"/>
      <c r="K68" s="321"/>
      <c r="L68" s="321"/>
      <c r="M68" s="321"/>
      <c r="N68" s="321"/>
      <c r="O68" s="321"/>
      <c r="P68" s="321"/>
      <c r="Q68" s="321"/>
      <c r="R68" s="321"/>
      <c r="S68" s="321"/>
      <c r="T68" s="321"/>
      <c r="U68" s="321"/>
      <c r="V68" s="321"/>
      <c r="W68" s="321"/>
      <c r="X68" s="321"/>
      <c r="Y68" s="321"/>
      <c r="Z68" s="321"/>
      <c r="AA68" s="321"/>
      <c r="AB68" s="321"/>
      <c r="AC68" s="321"/>
      <c r="AD68" s="321"/>
      <c r="AE68" s="321"/>
      <c r="AF68" s="321"/>
      <c r="AG68" s="321"/>
      <c r="AH68" s="321"/>
      <c r="AI68" s="321"/>
      <c r="AJ68" s="321"/>
      <c r="AK68" s="321"/>
      <c r="AL68" s="321"/>
      <c r="AM68" s="321"/>
      <c r="AN68" s="321"/>
      <c r="AO68" s="321"/>
      <c r="AP68" s="321"/>
      <c r="AQ68" s="321"/>
      <c r="AR68" s="321"/>
      <c r="AS68" s="321"/>
      <c r="AT68" s="321"/>
      <c r="AU68" s="321"/>
      <c r="AV68" s="321"/>
      <c r="AW68" s="321"/>
      <c r="AX68" s="321"/>
      <c r="AY68" s="321"/>
      <c r="AZ68" s="321"/>
      <c r="BA68" s="321"/>
      <c r="BB68" s="321"/>
      <c r="BC68" s="321"/>
      <c r="BD68" s="321"/>
      <c r="BE68" s="321"/>
      <c r="BF68" s="321"/>
      <c r="BG68" s="321"/>
      <c r="BH68" s="321"/>
      <c r="BI68" s="321"/>
      <c r="BJ68" s="321"/>
      <c r="BK68" s="321"/>
      <c r="BL68" s="321"/>
      <c r="BM68" s="321"/>
      <c r="BN68" s="321"/>
      <c r="BO68" s="321"/>
      <c r="BP68" s="321"/>
      <c r="BQ68" s="321"/>
      <c r="BR68" s="321"/>
      <c r="BS68" s="321"/>
      <c r="BT68" s="187">
        <f>SUM(BT63:BT66)</f>
        <v>12609155.5352</v>
      </c>
      <c r="BU68" s="187">
        <f>SUM(BU63:BU66)</f>
        <v>5459874.067399999</v>
      </c>
      <c r="BV68" s="187">
        <f aca="true" t="shared" si="16" ref="BV68:CA68">SUM(BV63:BV66)</f>
        <v>3521273.7473999993</v>
      </c>
      <c r="BW68" s="187">
        <f t="shared" si="16"/>
        <v>3522898.5667</v>
      </c>
      <c r="BX68" s="187">
        <f t="shared" si="16"/>
        <v>12504046.3815</v>
      </c>
      <c r="BY68" s="187">
        <f t="shared" si="16"/>
        <v>105109.15370000001</v>
      </c>
      <c r="BZ68" s="187"/>
      <c r="CA68" s="187">
        <f t="shared" si="16"/>
        <v>12609155.5352</v>
      </c>
      <c r="CB68" s="321"/>
      <c r="CC68" s="321"/>
      <c r="CD68" s="321"/>
      <c r="CE68" s="321"/>
      <c r="CF68" s="321"/>
      <c r="CG68" s="321"/>
      <c r="CH68" s="321"/>
      <c r="CI68" s="321"/>
      <c r="CJ68" s="321"/>
      <c r="CK68" s="321"/>
      <c r="CL68" s="321"/>
      <c r="CM68" s="321"/>
      <c r="CN68" s="321"/>
    </row>
  </sheetData>
  <sheetProtection/>
  <mergeCells count="1">
    <mergeCell ref="BV6:BW7"/>
  </mergeCells>
  <printOptions/>
  <pageMargins left="0.3937007874015748" right="0.3937007874015748" top="1.535433070866142" bottom="0.3937007874015748" header="0.7086614173228347" footer="0.5511811023622047"/>
  <pageSetup horizontalDpi="300" verticalDpi="300" orientation="portrait" paperSize="9" r:id="rId1"/>
  <headerFooter alignWithMargins="0">
    <oddHeader>&amp;C
&amp;"Times New Roman,Bold"&amp;14 3.4. KENNITÖLUR 1997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CG273"/>
  <sheetViews>
    <sheetView zoomScale="90" zoomScaleNormal="90" zoomScalePageLayoutView="0" workbookViewId="0" topLeftCell="A1">
      <pane xSplit="1" ySplit="8" topLeftCell="BR6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U67" sqref="BU67"/>
    </sheetView>
  </sheetViews>
  <sheetFormatPr defaultColWidth="14.00390625" defaultRowHeight="12.75"/>
  <cols>
    <col min="1" max="1" width="28.75390625" style="137" customWidth="1"/>
    <col min="2" max="2" width="9.50390625" style="78" customWidth="1"/>
    <col min="3" max="3" width="9.625" style="78" customWidth="1"/>
    <col min="4" max="4" width="9.25390625" style="78" customWidth="1"/>
    <col min="5" max="68" width="9.50390625" style="78" customWidth="1"/>
    <col min="69" max="69" width="9.625" style="78" customWidth="1"/>
    <col min="70" max="70" width="8.25390625" style="78" customWidth="1"/>
    <col min="71" max="76" width="10.375" style="78" customWidth="1"/>
    <col min="77" max="77" width="2.625" style="78" customWidth="1"/>
    <col min="78" max="78" width="10.375" style="78" customWidth="1"/>
    <col min="79" max="80" width="14.00390625" style="77" customWidth="1"/>
    <col min="81" max="16384" width="14.00390625" style="78" customWidth="1"/>
  </cols>
  <sheetData>
    <row r="1" spans="1:79" ht="2.25" customHeight="1">
      <c r="A1" s="292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3"/>
    </row>
    <row r="2" spans="1:80" ht="2.25" customHeight="1">
      <c r="A2" s="29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 t="s">
        <v>175</v>
      </c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76"/>
    </row>
    <row r="3" spans="1:80" ht="2.25" customHeight="1">
      <c r="A3" s="29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87"/>
      <c r="CB3" s="7"/>
    </row>
    <row r="4" spans="1:80" ht="12" customHeight="1">
      <c r="A4" s="29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76"/>
    </row>
    <row r="5" spans="1:80" s="136" customFormat="1" ht="11.25" customHeight="1">
      <c r="A5" s="294"/>
      <c r="B5" s="248" t="s">
        <v>0</v>
      </c>
      <c r="C5" s="248" t="s">
        <v>0</v>
      </c>
      <c r="D5" s="248" t="s">
        <v>0</v>
      </c>
      <c r="E5" s="248" t="s">
        <v>0</v>
      </c>
      <c r="F5" s="248" t="s">
        <v>1</v>
      </c>
      <c r="G5" s="248" t="s">
        <v>2</v>
      </c>
      <c r="H5" s="248" t="s">
        <v>0</v>
      </c>
      <c r="I5" s="248" t="s">
        <v>3</v>
      </c>
      <c r="J5" s="248" t="s">
        <v>0</v>
      </c>
      <c r="K5" s="248" t="s">
        <v>0</v>
      </c>
      <c r="L5" s="248" t="s">
        <v>0</v>
      </c>
      <c r="M5" s="248" t="s">
        <v>0</v>
      </c>
      <c r="N5" s="248" t="s">
        <v>0</v>
      </c>
      <c r="O5" s="248" t="s">
        <v>0</v>
      </c>
      <c r="P5" s="248" t="s">
        <v>4</v>
      </c>
      <c r="Q5" s="248" t="s">
        <v>0</v>
      </c>
      <c r="R5" s="248" t="s">
        <v>0</v>
      </c>
      <c r="S5" s="248" t="s">
        <v>0</v>
      </c>
      <c r="T5" s="248" t="s">
        <v>657</v>
      </c>
      <c r="U5" s="248" t="s">
        <v>6</v>
      </c>
      <c r="V5" s="248" t="s">
        <v>0</v>
      </c>
      <c r="W5" s="248" t="s">
        <v>5</v>
      </c>
      <c r="X5" s="248" t="s">
        <v>0</v>
      </c>
      <c r="Y5" s="248" t="s">
        <v>8</v>
      </c>
      <c r="Z5" s="248" t="s">
        <v>0</v>
      </c>
      <c r="AA5" s="248" t="s">
        <v>0</v>
      </c>
      <c r="AB5" s="248" t="s">
        <v>0</v>
      </c>
      <c r="AC5" s="248" t="s">
        <v>0</v>
      </c>
      <c r="AD5" s="248" t="s">
        <v>0</v>
      </c>
      <c r="AE5" s="248" t="s">
        <v>7</v>
      </c>
      <c r="AF5" s="248" t="s">
        <v>4</v>
      </c>
      <c r="AG5" s="248" t="s">
        <v>9</v>
      </c>
      <c r="AH5" s="248" t="s">
        <v>0</v>
      </c>
      <c r="AI5" s="248" t="s">
        <v>0</v>
      </c>
      <c r="AJ5" s="248" t="s">
        <v>0</v>
      </c>
      <c r="AK5" s="248" t="s">
        <v>4</v>
      </c>
      <c r="AL5" s="248" t="s">
        <v>0</v>
      </c>
      <c r="AM5" s="248" t="s">
        <v>0</v>
      </c>
      <c r="AN5" s="248" t="s">
        <v>0</v>
      </c>
      <c r="AO5" s="248" t="s">
        <v>7</v>
      </c>
      <c r="AP5" s="248" t="s">
        <v>4</v>
      </c>
      <c r="AQ5" s="248" t="s">
        <v>0</v>
      </c>
      <c r="AR5" s="248" t="s">
        <v>0</v>
      </c>
      <c r="AS5" s="248" t="s">
        <v>0</v>
      </c>
      <c r="AT5" s="248" t="s">
        <v>0</v>
      </c>
      <c r="AU5" s="248" t="s">
        <v>0</v>
      </c>
      <c r="AV5" s="248" t="s">
        <v>4</v>
      </c>
      <c r="AW5" s="248" t="s">
        <v>0</v>
      </c>
      <c r="AX5" s="248" t="s">
        <v>4</v>
      </c>
      <c r="AY5" s="248" t="s">
        <v>0</v>
      </c>
      <c r="AZ5" s="248" t="s">
        <v>7</v>
      </c>
      <c r="BA5" s="248" t="s">
        <v>0</v>
      </c>
      <c r="BB5" s="248" t="s">
        <v>4</v>
      </c>
      <c r="BC5" s="248" t="s">
        <v>7</v>
      </c>
      <c r="BD5" s="248" t="s">
        <v>0</v>
      </c>
      <c r="BE5" s="248" t="s">
        <v>4</v>
      </c>
      <c r="BF5" s="248" t="s">
        <v>0</v>
      </c>
      <c r="BG5" s="248" t="s">
        <v>66</v>
      </c>
      <c r="BH5" s="248" t="s">
        <v>0</v>
      </c>
      <c r="BI5" s="248" t="s">
        <v>0</v>
      </c>
      <c r="BJ5" s="248" t="s">
        <v>10</v>
      </c>
      <c r="BK5" s="248" t="s">
        <v>0</v>
      </c>
      <c r="BL5" s="248" t="s">
        <v>0</v>
      </c>
      <c r="BM5" s="248" t="s">
        <v>0</v>
      </c>
      <c r="BN5" s="248" t="s">
        <v>0</v>
      </c>
      <c r="BO5" s="248" t="s">
        <v>0</v>
      </c>
      <c r="BP5" s="248"/>
      <c r="BQ5" s="248"/>
      <c r="BR5" s="248"/>
      <c r="BS5" s="107" t="s">
        <v>11</v>
      </c>
      <c r="BT5" s="258" t="s">
        <v>691</v>
      </c>
      <c r="BU5" s="335" t="s">
        <v>688</v>
      </c>
      <c r="BV5" s="335"/>
      <c r="BW5" s="107"/>
      <c r="BX5" s="107"/>
      <c r="BY5" s="107"/>
      <c r="BZ5" s="107" t="s">
        <v>12</v>
      </c>
      <c r="CA5" s="295"/>
      <c r="CB5" s="138"/>
    </row>
    <row r="6" spans="1:80" s="136" customFormat="1" ht="11.25" customHeight="1">
      <c r="A6" s="100" t="s">
        <v>13</v>
      </c>
      <c r="B6" s="248" t="s">
        <v>14</v>
      </c>
      <c r="C6" s="248" t="s">
        <v>642</v>
      </c>
      <c r="D6" s="248" t="s">
        <v>18</v>
      </c>
      <c r="E6" s="248" t="s">
        <v>15</v>
      </c>
      <c r="F6" s="248" t="s">
        <v>17</v>
      </c>
      <c r="G6" s="248" t="s">
        <v>17</v>
      </c>
      <c r="H6" s="248" t="s">
        <v>19</v>
      </c>
      <c r="I6" s="248" t="s">
        <v>17</v>
      </c>
      <c r="J6" s="248" t="s">
        <v>21</v>
      </c>
      <c r="K6" s="248" t="s">
        <v>553</v>
      </c>
      <c r="L6" s="248" t="s">
        <v>20</v>
      </c>
      <c r="M6" s="248" t="s">
        <v>22</v>
      </c>
      <c r="N6" s="248" t="s">
        <v>25</v>
      </c>
      <c r="O6" s="248" t="s">
        <v>24</v>
      </c>
      <c r="P6" s="248" t="s">
        <v>23</v>
      </c>
      <c r="Q6" s="248" t="s">
        <v>26</v>
      </c>
      <c r="R6" s="248" t="s">
        <v>27</v>
      </c>
      <c r="S6" s="248" t="s">
        <v>28</v>
      </c>
      <c r="T6" s="248" t="s">
        <v>58</v>
      </c>
      <c r="U6" s="248" t="s">
        <v>33</v>
      </c>
      <c r="V6" s="248" t="s">
        <v>29</v>
      </c>
      <c r="W6" s="248" t="s">
        <v>17</v>
      </c>
      <c r="X6" s="248" t="s">
        <v>30</v>
      </c>
      <c r="Y6" s="248" t="s">
        <v>36</v>
      </c>
      <c r="Z6" s="248" t="s">
        <v>31</v>
      </c>
      <c r="AA6" s="248" t="s">
        <v>16</v>
      </c>
      <c r="AB6" s="248" t="s">
        <v>30</v>
      </c>
      <c r="AC6" s="248" t="s">
        <v>32</v>
      </c>
      <c r="AD6" s="248" t="s">
        <v>34</v>
      </c>
      <c r="AE6" s="248" t="s">
        <v>35</v>
      </c>
      <c r="AF6" s="248" t="s">
        <v>16</v>
      </c>
      <c r="AG6" s="248" t="s">
        <v>17</v>
      </c>
      <c r="AH6" s="248" t="s">
        <v>37</v>
      </c>
      <c r="AI6" s="248" t="s">
        <v>38</v>
      </c>
      <c r="AJ6" s="248" t="s">
        <v>39</v>
      </c>
      <c r="AK6" s="248" t="s">
        <v>40</v>
      </c>
      <c r="AL6" s="248" t="s">
        <v>41</v>
      </c>
      <c r="AM6" s="248" t="s">
        <v>42</v>
      </c>
      <c r="AN6" s="248" t="s">
        <v>43</v>
      </c>
      <c r="AO6" s="248" t="s">
        <v>35</v>
      </c>
      <c r="AP6" s="248" t="s">
        <v>44</v>
      </c>
      <c r="AQ6" s="248" t="s">
        <v>46</v>
      </c>
      <c r="AR6" s="248" t="s">
        <v>45</v>
      </c>
      <c r="AS6" s="248" t="s">
        <v>47</v>
      </c>
      <c r="AT6" s="248" t="s">
        <v>48</v>
      </c>
      <c r="AU6" s="248" t="s">
        <v>642</v>
      </c>
      <c r="AV6" s="248" t="s">
        <v>49</v>
      </c>
      <c r="AW6" s="248" t="s">
        <v>50</v>
      </c>
      <c r="AX6" s="248" t="s">
        <v>51</v>
      </c>
      <c r="AY6" s="248" t="s">
        <v>16</v>
      </c>
      <c r="AZ6" s="248" t="s">
        <v>35</v>
      </c>
      <c r="BA6" s="248" t="s">
        <v>52</v>
      </c>
      <c r="BB6" s="248" t="s">
        <v>625</v>
      </c>
      <c r="BC6" s="248" t="s">
        <v>58</v>
      </c>
      <c r="BD6" s="248" t="s">
        <v>53</v>
      </c>
      <c r="BE6" s="248" t="s">
        <v>55</v>
      </c>
      <c r="BF6" s="248" t="s">
        <v>54</v>
      </c>
      <c r="BG6" s="248" t="s">
        <v>17</v>
      </c>
      <c r="BH6" s="248" t="s">
        <v>56</v>
      </c>
      <c r="BI6" s="248" t="s">
        <v>57</v>
      </c>
      <c r="BJ6" s="248" t="s">
        <v>58</v>
      </c>
      <c r="BK6" s="248" t="s">
        <v>59</v>
      </c>
      <c r="BL6" s="248" t="s">
        <v>60</v>
      </c>
      <c r="BM6" s="248" t="s">
        <v>61</v>
      </c>
      <c r="BN6" s="248" t="s">
        <v>62</v>
      </c>
      <c r="BO6" s="248" t="s">
        <v>63</v>
      </c>
      <c r="BP6" s="248"/>
      <c r="BQ6" s="248"/>
      <c r="BR6" s="248"/>
      <c r="BS6" s="107" t="s">
        <v>64</v>
      </c>
      <c r="BT6" s="258" t="s">
        <v>692</v>
      </c>
      <c r="BU6" s="335"/>
      <c r="BV6" s="335"/>
      <c r="BW6" s="107"/>
      <c r="BX6" s="107" t="s">
        <v>66</v>
      </c>
      <c r="BY6" s="107"/>
      <c r="BZ6" s="107" t="s">
        <v>64</v>
      </c>
      <c r="CA6" s="295"/>
      <c r="CB6" s="138"/>
    </row>
    <row r="7" spans="1:80" s="136" customFormat="1" ht="11.25" customHeight="1">
      <c r="A7" s="294"/>
      <c r="B7" s="248" t="s">
        <v>67</v>
      </c>
      <c r="C7" s="248" t="s">
        <v>643</v>
      </c>
      <c r="D7" s="248"/>
      <c r="E7" s="248"/>
      <c r="F7" s="248" t="s">
        <v>35</v>
      </c>
      <c r="G7" s="248" t="s">
        <v>68</v>
      </c>
      <c r="H7" s="248" t="s">
        <v>69</v>
      </c>
      <c r="I7" s="248" t="s">
        <v>35</v>
      </c>
      <c r="J7" s="248" t="s">
        <v>69</v>
      </c>
      <c r="K7" s="248"/>
      <c r="L7" s="248"/>
      <c r="M7" s="248" t="s">
        <v>70</v>
      </c>
      <c r="N7" s="248"/>
      <c r="O7" s="248" t="s">
        <v>72</v>
      </c>
      <c r="P7" s="248" t="s">
        <v>71</v>
      </c>
      <c r="Q7" s="248" t="s">
        <v>633</v>
      </c>
      <c r="R7" s="248" t="s">
        <v>73</v>
      </c>
      <c r="S7" s="248" t="s">
        <v>69</v>
      </c>
      <c r="T7" s="248" t="s">
        <v>658</v>
      </c>
      <c r="U7" s="248" t="s">
        <v>77</v>
      </c>
      <c r="V7" s="248" t="s">
        <v>469</v>
      </c>
      <c r="W7" s="248" t="s">
        <v>35</v>
      </c>
      <c r="X7" s="248" t="s">
        <v>74</v>
      </c>
      <c r="Y7" s="248" t="s">
        <v>81</v>
      </c>
      <c r="Z7" s="248" t="s">
        <v>73</v>
      </c>
      <c r="AA7" s="248" t="s">
        <v>76</v>
      </c>
      <c r="AB7" s="248" t="s">
        <v>75</v>
      </c>
      <c r="AC7" s="248"/>
      <c r="AD7" s="248" t="s">
        <v>78</v>
      </c>
      <c r="AE7" s="248" t="s">
        <v>80</v>
      </c>
      <c r="AF7" s="248" t="s">
        <v>79</v>
      </c>
      <c r="AG7" s="248" t="s">
        <v>93</v>
      </c>
      <c r="AH7" s="248" t="s">
        <v>82</v>
      </c>
      <c r="AI7" s="248" t="s">
        <v>83</v>
      </c>
      <c r="AJ7" s="248"/>
      <c r="AK7" s="248" t="s">
        <v>84</v>
      </c>
      <c r="AL7" s="248" t="s">
        <v>85</v>
      </c>
      <c r="AM7" s="248" t="s">
        <v>86</v>
      </c>
      <c r="AN7" s="248" t="s">
        <v>87</v>
      </c>
      <c r="AO7" s="248" t="s">
        <v>98</v>
      </c>
      <c r="AP7" s="248" t="s">
        <v>88</v>
      </c>
      <c r="AQ7" s="248" t="s">
        <v>84</v>
      </c>
      <c r="AR7" s="248" t="s">
        <v>89</v>
      </c>
      <c r="AS7" s="248" t="s">
        <v>73</v>
      </c>
      <c r="AT7" s="248" t="s">
        <v>90</v>
      </c>
      <c r="AU7" s="248" t="s">
        <v>644</v>
      </c>
      <c r="AV7" s="248" t="s">
        <v>91</v>
      </c>
      <c r="AW7" s="248" t="s">
        <v>88</v>
      </c>
      <c r="AX7" s="248" t="s">
        <v>92</v>
      </c>
      <c r="AY7" s="248" t="s">
        <v>94</v>
      </c>
      <c r="AZ7" s="248" t="s">
        <v>95</v>
      </c>
      <c r="BA7" s="248" t="s">
        <v>96</v>
      </c>
      <c r="BB7" s="248" t="s">
        <v>97</v>
      </c>
      <c r="BC7" s="248" t="s">
        <v>652</v>
      </c>
      <c r="BD7" s="248" t="s">
        <v>99</v>
      </c>
      <c r="BE7" s="248" t="s">
        <v>101</v>
      </c>
      <c r="BF7" s="248" t="s">
        <v>100</v>
      </c>
      <c r="BG7" s="248" t="s">
        <v>35</v>
      </c>
      <c r="BH7" s="248" t="s">
        <v>102</v>
      </c>
      <c r="BI7" s="248" t="s">
        <v>103</v>
      </c>
      <c r="BJ7" s="248" t="s">
        <v>104</v>
      </c>
      <c r="BK7" s="248" t="s">
        <v>105</v>
      </c>
      <c r="BL7" s="248" t="s">
        <v>106</v>
      </c>
      <c r="BM7" s="248" t="s">
        <v>107</v>
      </c>
      <c r="BN7" s="248" t="s">
        <v>67</v>
      </c>
      <c r="BO7" s="248"/>
      <c r="BP7" s="248"/>
      <c r="BQ7" s="248"/>
      <c r="BR7" s="248"/>
      <c r="BS7" s="107" t="s">
        <v>108</v>
      </c>
      <c r="BT7" s="258" t="s">
        <v>687</v>
      </c>
      <c r="BU7" s="258" t="s">
        <v>689</v>
      </c>
      <c r="BV7" s="258" t="s">
        <v>690</v>
      </c>
      <c r="BW7" s="107" t="s">
        <v>109</v>
      </c>
      <c r="BX7" s="107" t="s">
        <v>65</v>
      </c>
      <c r="BY7" s="107"/>
      <c r="BZ7" s="107" t="s">
        <v>108</v>
      </c>
      <c r="CA7" s="295"/>
      <c r="CB7" s="138"/>
    </row>
    <row r="8" spans="1:80" s="273" customFormat="1" ht="12.75">
      <c r="A8" s="296"/>
      <c r="B8" s="251" t="s">
        <v>110</v>
      </c>
      <c r="C8" s="251" t="s">
        <v>111</v>
      </c>
      <c r="D8" s="251" t="s">
        <v>112</v>
      </c>
      <c r="E8" s="251" t="s">
        <v>113</v>
      </c>
      <c r="F8" s="251" t="s">
        <v>114</v>
      </c>
      <c r="G8" s="251" t="s">
        <v>115</v>
      </c>
      <c r="H8" s="251" t="s">
        <v>116</v>
      </c>
      <c r="I8" s="251" t="s">
        <v>117</v>
      </c>
      <c r="J8" s="251" t="s">
        <v>391</v>
      </c>
      <c r="K8" s="251" t="s">
        <v>392</v>
      </c>
      <c r="L8" s="251" t="s">
        <v>393</v>
      </c>
      <c r="M8" s="251" t="s">
        <v>623</v>
      </c>
      <c r="N8" s="251" t="s">
        <v>120</v>
      </c>
      <c r="O8" s="251" t="s">
        <v>121</v>
      </c>
      <c r="P8" s="251" t="s">
        <v>122</v>
      </c>
      <c r="Q8" s="251" t="s">
        <v>123</v>
      </c>
      <c r="R8" s="251" t="s">
        <v>124</v>
      </c>
      <c r="S8" s="251" t="s">
        <v>125</v>
      </c>
      <c r="T8" s="251" t="s">
        <v>126</v>
      </c>
      <c r="U8" s="251" t="s">
        <v>127</v>
      </c>
      <c r="V8" s="251" t="s">
        <v>128</v>
      </c>
      <c r="W8" s="251" t="s">
        <v>129</v>
      </c>
      <c r="X8" s="251" t="s">
        <v>130</v>
      </c>
      <c r="Y8" s="251" t="s">
        <v>131</v>
      </c>
      <c r="Z8" s="251" t="s">
        <v>132</v>
      </c>
      <c r="AA8" s="251" t="s">
        <v>133</v>
      </c>
      <c r="AB8" s="251" t="s">
        <v>134</v>
      </c>
      <c r="AC8" s="251" t="s">
        <v>135</v>
      </c>
      <c r="AD8" s="251" t="s">
        <v>136</v>
      </c>
      <c r="AE8" s="251" t="s">
        <v>137</v>
      </c>
      <c r="AF8" s="251" t="s">
        <v>138</v>
      </c>
      <c r="AG8" s="251" t="s">
        <v>139</v>
      </c>
      <c r="AH8" s="251" t="s">
        <v>140</v>
      </c>
      <c r="AI8" s="251" t="s">
        <v>141</v>
      </c>
      <c r="AJ8" s="251" t="s">
        <v>142</v>
      </c>
      <c r="AK8" s="251" t="s">
        <v>143</v>
      </c>
      <c r="AL8" s="251" t="s">
        <v>144</v>
      </c>
      <c r="AM8" s="251" t="s">
        <v>145</v>
      </c>
      <c r="AN8" s="251" t="s">
        <v>146</v>
      </c>
      <c r="AO8" s="251" t="s">
        <v>147</v>
      </c>
      <c r="AP8" s="251" t="s">
        <v>148</v>
      </c>
      <c r="AQ8" s="251" t="s">
        <v>149</v>
      </c>
      <c r="AR8" s="251" t="s">
        <v>150</v>
      </c>
      <c r="AS8" s="251" t="s">
        <v>151</v>
      </c>
      <c r="AT8" s="251" t="s">
        <v>152</v>
      </c>
      <c r="AU8" s="251" t="s">
        <v>153</v>
      </c>
      <c r="AV8" s="251" t="s">
        <v>154</v>
      </c>
      <c r="AW8" s="251" t="s">
        <v>155</v>
      </c>
      <c r="AX8" s="251" t="s">
        <v>156</v>
      </c>
      <c r="AY8" s="251" t="s">
        <v>157</v>
      </c>
      <c r="AZ8" s="251" t="s">
        <v>158</v>
      </c>
      <c r="BA8" s="251" t="s">
        <v>159</v>
      </c>
      <c r="BB8" s="251" t="s">
        <v>471</v>
      </c>
      <c r="BC8" s="251" t="s">
        <v>160</v>
      </c>
      <c r="BD8" s="251" t="s">
        <v>161</v>
      </c>
      <c r="BE8" s="251" t="s">
        <v>162</v>
      </c>
      <c r="BF8" s="251" t="s">
        <v>163</v>
      </c>
      <c r="BG8" s="251" t="s">
        <v>164</v>
      </c>
      <c r="BH8" s="251" t="s">
        <v>472</v>
      </c>
      <c r="BI8" s="251" t="s">
        <v>165</v>
      </c>
      <c r="BJ8" s="251" t="s">
        <v>166</v>
      </c>
      <c r="BK8" s="251" t="s">
        <v>167</v>
      </c>
      <c r="BL8" s="251" t="s">
        <v>168</v>
      </c>
      <c r="BM8" s="251" t="s">
        <v>169</v>
      </c>
      <c r="BN8" s="251" t="s">
        <v>170</v>
      </c>
      <c r="BO8" s="251" t="s">
        <v>171</v>
      </c>
      <c r="BP8" s="251"/>
      <c r="BQ8" s="251"/>
      <c r="BR8" s="251"/>
      <c r="BS8" s="297"/>
      <c r="BT8" s="297" t="s">
        <v>172</v>
      </c>
      <c r="BU8" s="297" t="s">
        <v>622</v>
      </c>
      <c r="BV8" s="297" t="s">
        <v>663</v>
      </c>
      <c r="BW8" s="297" t="s">
        <v>648</v>
      </c>
      <c r="BX8" s="297" t="s">
        <v>554</v>
      </c>
      <c r="BY8" s="297"/>
      <c r="BZ8" s="297" t="s">
        <v>649</v>
      </c>
      <c r="CA8" s="297"/>
      <c r="CB8" s="272"/>
    </row>
    <row r="9" spans="1:80" ht="4.5" customHeight="1">
      <c r="A9" s="290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89"/>
      <c r="CB9" s="9"/>
    </row>
    <row r="10" spans="1:80" ht="11.25" customHeight="1">
      <c r="A10" s="290" t="s">
        <v>556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291"/>
      <c r="BS10" s="291"/>
      <c r="BT10" s="291"/>
      <c r="BU10" s="291"/>
      <c r="BV10" s="291"/>
      <c r="BW10" s="291"/>
      <c r="BX10" s="291"/>
      <c r="BY10" s="291"/>
      <c r="BZ10" s="291"/>
      <c r="CA10" s="76"/>
      <c r="CB10" s="76"/>
    </row>
    <row r="11" spans="1:80" s="291" customFormat="1" ht="16.5" customHeight="1">
      <c r="A11" s="300" t="s">
        <v>561</v>
      </c>
      <c r="B11" s="226">
        <f aca="true" t="shared" si="0" ref="B11:AC11">SUM(B12:B15)</f>
        <v>1742236</v>
      </c>
      <c r="C11" s="226">
        <f t="shared" si="0"/>
        <v>1830228</v>
      </c>
      <c r="D11" s="226">
        <f t="shared" si="0"/>
        <v>1432219</v>
      </c>
      <c r="E11" s="226">
        <f t="shared" si="0"/>
        <v>1707947</v>
      </c>
      <c r="F11" s="226">
        <f t="shared" si="0"/>
        <v>503538</v>
      </c>
      <c r="G11" s="226">
        <f t="shared" si="0"/>
        <v>1380214</v>
      </c>
      <c r="H11" s="226">
        <f t="shared" si="0"/>
        <v>948636</v>
      </c>
      <c r="I11" s="226">
        <f t="shared" si="0"/>
        <v>121106</v>
      </c>
      <c r="J11" s="226">
        <f t="shared" si="0"/>
        <v>442661</v>
      </c>
      <c r="K11" s="226">
        <f t="shared" si="0"/>
        <v>1030473</v>
      </c>
      <c r="L11" s="226">
        <f t="shared" si="0"/>
        <v>665415</v>
      </c>
      <c r="M11" s="226">
        <f t="shared" si="0"/>
        <v>446821</v>
      </c>
      <c r="N11" s="226">
        <f t="shared" si="0"/>
        <v>52207.478</v>
      </c>
      <c r="O11" s="226">
        <f aca="true" t="shared" si="1" ref="O11:U11">SUM(O12:O15)</f>
        <v>0</v>
      </c>
      <c r="P11" s="226">
        <f t="shared" si="1"/>
        <v>328516</v>
      </c>
      <c r="Q11" s="226">
        <f t="shared" si="1"/>
        <v>935430</v>
      </c>
      <c r="R11" s="226">
        <f t="shared" si="1"/>
        <v>16664</v>
      </c>
      <c r="S11" s="226">
        <f t="shared" si="1"/>
        <v>51699</v>
      </c>
      <c r="T11" s="226">
        <f t="shared" si="1"/>
        <v>1079917.875</v>
      </c>
      <c r="U11" s="226">
        <f t="shared" si="1"/>
        <v>759629</v>
      </c>
      <c r="V11" s="226">
        <f t="shared" si="0"/>
        <v>86672</v>
      </c>
      <c r="W11" s="226">
        <f t="shared" si="0"/>
        <v>374267</v>
      </c>
      <c r="X11" s="226">
        <f t="shared" si="0"/>
        <v>377844</v>
      </c>
      <c r="Y11" s="226">
        <f>SUM(Y12:Y15)</f>
        <v>1244</v>
      </c>
      <c r="Z11" s="226">
        <f t="shared" si="0"/>
        <v>395044</v>
      </c>
      <c r="AA11" s="226">
        <f>SUM(AA12:AA15)</f>
        <v>0</v>
      </c>
      <c r="AB11" s="226">
        <f>SUM(AB12:AB15)</f>
        <v>176726</v>
      </c>
      <c r="AC11" s="226">
        <f t="shared" si="0"/>
        <v>137840</v>
      </c>
      <c r="AD11" s="226">
        <f aca="true" t="shared" si="2" ref="AD11:BO11">SUM(AD12:AD15)</f>
        <v>146809</v>
      </c>
      <c r="AE11" s="226">
        <f t="shared" si="2"/>
        <v>0</v>
      </c>
      <c r="AF11" s="226">
        <f t="shared" si="2"/>
        <v>472742</v>
      </c>
      <c r="AG11" s="226">
        <f t="shared" si="2"/>
        <v>612631</v>
      </c>
      <c r="AH11" s="226">
        <f t="shared" si="2"/>
        <v>414047</v>
      </c>
      <c r="AI11" s="226">
        <f t="shared" si="2"/>
        <v>35491</v>
      </c>
      <c r="AJ11" s="226">
        <f t="shared" si="2"/>
        <v>0</v>
      </c>
      <c r="AK11" s="226">
        <f t="shared" si="2"/>
        <v>163505</v>
      </c>
      <c r="AL11" s="226">
        <f t="shared" si="2"/>
        <v>98516</v>
      </c>
      <c r="AM11" s="226">
        <f t="shared" si="2"/>
        <v>153250</v>
      </c>
      <c r="AN11" s="226">
        <f t="shared" si="2"/>
        <v>31721</v>
      </c>
      <c r="AO11" s="226">
        <f t="shared" si="2"/>
        <v>39821</v>
      </c>
      <c r="AP11" s="226">
        <f t="shared" si="2"/>
        <v>7222</v>
      </c>
      <c r="AQ11" s="226">
        <f t="shared" si="2"/>
        <v>181230</v>
      </c>
      <c r="AR11" s="226">
        <f t="shared" si="2"/>
        <v>122419</v>
      </c>
      <c r="AS11" s="226">
        <f t="shared" si="2"/>
        <v>205913</v>
      </c>
      <c r="AT11" s="226">
        <f t="shared" si="2"/>
        <v>12655</v>
      </c>
      <c r="AU11" s="226">
        <f>SUM(AU12:AU15)</f>
        <v>0</v>
      </c>
      <c r="AV11" s="226">
        <f t="shared" si="2"/>
        <v>113448</v>
      </c>
      <c r="AW11" s="226">
        <f t="shared" si="2"/>
        <v>138195</v>
      </c>
      <c r="AX11" s="226">
        <f t="shared" si="2"/>
        <v>34524</v>
      </c>
      <c r="AY11" s="226">
        <f t="shared" si="2"/>
        <v>120071</v>
      </c>
      <c r="AZ11" s="226">
        <f t="shared" si="2"/>
        <v>0</v>
      </c>
      <c r="BA11" s="226">
        <f t="shared" si="2"/>
        <v>34292</v>
      </c>
      <c r="BB11" s="226">
        <f t="shared" si="2"/>
        <v>0</v>
      </c>
      <c r="BC11" s="226">
        <f t="shared" si="2"/>
        <v>67617</v>
      </c>
      <c r="BD11" s="226">
        <f t="shared" si="2"/>
        <v>21847</v>
      </c>
      <c r="BE11" s="226">
        <f t="shared" si="2"/>
        <v>0</v>
      </c>
      <c r="BF11" s="226">
        <f>SUM(BF12:BF15)</f>
        <v>75913</v>
      </c>
      <c r="BG11" s="226">
        <f t="shared" si="2"/>
        <v>49338</v>
      </c>
      <c r="BH11" s="226">
        <f t="shared" si="2"/>
        <v>0</v>
      </c>
      <c r="BI11" s="226">
        <f t="shared" si="2"/>
        <v>2016</v>
      </c>
      <c r="BJ11" s="226">
        <f t="shared" si="2"/>
        <v>22838</v>
      </c>
      <c r="BK11" s="226">
        <f t="shared" si="2"/>
        <v>0</v>
      </c>
      <c r="BL11" s="226">
        <f t="shared" si="2"/>
        <v>0</v>
      </c>
      <c r="BM11" s="226">
        <f t="shared" si="2"/>
        <v>0</v>
      </c>
      <c r="BN11" s="226">
        <f t="shared" si="2"/>
        <v>0</v>
      </c>
      <c r="BO11" s="226">
        <f t="shared" si="2"/>
        <v>0</v>
      </c>
      <c r="BP11" s="226"/>
      <c r="BQ11" s="226"/>
      <c r="BR11" s="226"/>
      <c r="BS11" s="230">
        <f>SUM(A11:BO11)</f>
        <v>20403265.353</v>
      </c>
      <c r="BT11" s="230">
        <f aca="true" t="shared" si="3" ref="BT11:BT57">SUM(C11+P11+U11+V11+AA11+AD11+AF11+AN11+AP11+AR11+AW11+BB11+BD11+BE11+BH11+BK11+BL11+BN11+BO11)</f>
        <v>3946000</v>
      </c>
      <c r="BU11" s="230">
        <f>SUM(D11+F11+H11+J11+K11+M11+O11+Q11+S11+X11+AI11+AJ11+AT11)</f>
        <v>6217467</v>
      </c>
      <c r="BV11" s="230">
        <f>SUM(B11+E11+G11+I11+L11+N11+R11+T11+AB11+AC11+AE11+AH11+AK11+AL11+AM11+AU11+AV11+AX11+AY11+AZ11+BC11+BF11+BM11)</f>
        <v>8321164.353</v>
      </c>
      <c r="BW11" s="230">
        <f aca="true" t="shared" si="4" ref="BW11:BW64">SUM(BT11:BV11)</f>
        <v>18484631.353</v>
      </c>
      <c r="BX11" s="230">
        <f>SUM(W11+Y11+Z11+AG11+AO11+AQ11+AS11+BA11+BG11+BI11+BJ11)</f>
        <v>1918634</v>
      </c>
      <c r="BY11" s="230"/>
      <c r="BZ11" s="230">
        <f aca="true" t="shared" si="5" ref="BZ11:BZ64">SUM(BW11:BX11)</f>
        <v>20403265.353</v>
      </c>
      <c r="CA11" s="13"/>
      <c r="CB11" s="13"/>
    </row>
    <row r="12" spans="1:80" ht="12.75">
      <c r="A12" s="300" t="s">
        <v>562</v>
      </c>
      <c r="B12" s="10">
        <v>1660324</v>
      </c>
      <c r="C12" s="10">
        <v>1830228</v>
      </c>
      <c r="D12" s="10">
        <v>1310027</v>
      </c>
      <c r="E12" s="10">
        <v>1687250</v>
      </c>
      <c r="F12" s="10">
        <v>503538</v>
      </c>
      <c r="G12" s="10">
        <v>1308404</v>
      </c>
      <c r="H12" s="10">
        <v>948636</v>
      </c>
      <c r="I12" s="10">
        <v>121106</v>
      </c>
      <c r="J12" s="10">
        <v>353790</v>
      </c>
      <c r="K12" s="10">
        <v>522107</v>
      </c>
      <c r="L12" s="10">
        <v>566845</v>
      </c>
      <c r="M12" s="10">
        <v>363793</v>
      </c>
      <c r="N12" s="10">
        <v>41930.566</v>
      </c>
      <c r="O12" s="10">
        <v>0</v>
      </c>
      <c r="P12" s="10">
        <v>277944</v>
      </c>
      <c r="Q12" s="10">
        <v>538909</v>
      </c>
      <c r="R12" s="10">
        <v>0</v>
      </c>
      <c r="S12" s="10">
        <v>51699</v>
      </c>
      <c r="T12" s="10">
        <v>1017918.375</v>
      </c>
      <c r="U12" s="10">
        <v>734984</v>
      </c>
      <c r="V12" s="10">
        <v>86672</v>
      </c>
      <c r="W12" s="10">
        <v>374267</v>
      </c>
      <c r="X12" s="10">
        <v>332523</v>
      </c>
      <c r="Y12" s="10">
        <v>1141</v>
      </c>
      <c r="Z12" s="10">
        <v>371211</v>
      </c>
      <c r="AA12" s="10">
        <v>0</v>
      </c>
      <c r="AB12" s="10">
        <v>176726</v>
      </c>
      <c r="AC12" s="10">
        <v>129521</v>
      </c>
      <c r="AD12" s="10">
        <v>146809</v>
      </c>
      <c r="AE12" s="10">
        <v>0</v>
      </c>
      <c r="AF12" s="10">
        <v>464503</v>
      </c>
      <c r="AG12" s="10">
        <v>539617</v>
      </c>
      <c r="AH12" s="10">
        <v>382922</v>
      </c>
      <c r="AI12" s="10">
        <v>35491</v>
      </c>
      <c r="AJ12" s="10">
        <v>0</v>
      </c>
      <c r="AK12" s="10">
        <v>89639</v>
      </c>
      <c r="AL12" s="10">
        <v>85184</v>
      </c>
      <c r="AM12" s="10">
        <v>135033</v>
      </c>
      <c r="AN12" s="10">
        <f>31721-18233</f>
        <v>13488</v>
      </c>
      <c r="AO12" s="10">
        <v>39821</v>
      </c>
      <c r="AP12" s="10">
        <v>0</v>
      </c>
      <c r="AQ12" s="10">
        <v>166624</v>
      </c>
      <c r="AR12" s="10">
        <v>116647</v>
      </c>
      <c r="AS12" s="10">
        <v>161297</v>
      </c>
      <c r="AT12" s="10">
        <v>12655</v>
      </c>
      <c r="AU12" s="10">
        <v>0</v>
      </c>
      <c r="AV12" s="10">
        <v>23908</v>
      </c>
      <c r="AW12" s="10">
        <v>64183</v>
      </c>
      <c r="AX12" s="10">
        <v>29648</v>
      </c>
      <c r="AY12" s="10">
        <v>98676</v>
      </c>
      <c r="AZ12" s="10">
        <v>0</v>
      </c>
      <c r="BA12" s="10">
        <v>32812</v>
      </c>
      <c r="BB12" s="10">
        <v>0</v>
      </c>
      <c r="BC12" s="10">
        <v>66864</v>
      </c>
      <c r="BD12" s="10">
        <v>21847</v>
      </c>
      <c r="BE12" s="10">
        <v>0</v>
      </c>
      <c r="BF12" s="10">
        <v>75913</v>
      </c>
      <c r="BG12" s="10">
        <v>33287</v>
      </c>
      <c r="BH12" s="10">
        <v>0</v>
      </c>
      <c r="BI12" s="10">
        <v>2016</v>
      </c>
      <c r="BJ12" s="10">
        <v>22838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/>
      <c r="BQ12" s="10"/>
      <c r="BR12" s="10"/>
      <c r="BS12" s="230">
        <f aca="true" t="shared" si="6" ref="BS12:BS64">SUM(A12:BO12)</f>
        <v>18173215.941</v>
      </c>
      <c r="BT12" s="230">
        <f t="shared" si="3"/>
        <v>3757305</v>
      </c>
      <c r="BU12" s="230">
        <f>SUM(D12+F12+H12+J12+K12+M12+O12+Q12+S12+X12+AI12+AJ12+AT12)</f>
        <v>4973168</v>
      </c>
      <c r="BV12" s="230">
        <f aca="true" t="shared" si="7" ref="BV12:BV64">SUM(B12+E12+G12+I12+L12+N12+R12+T12+AB12+AC12+AE12+AH12+AK12+AL12+AM12+AU12+AV12+AX12+AY12+AZ12+BC12+BF12+BM12)</f>
        <v>7697811.941</v>
      </c>
      <c r="BW12" s="230">
        <f t="shared" si="4"/>
        <v>16428284.941</v>
      </c>
      <c r="BX12" s="230">
        <f>SUM(W12+Y12+Z12+AG12+AO12+AQ12+AS12+BA12+BG12+BI12+BJ12)</f>
        <v>1744931</v>
      </c>
      <c r="BY12" s="230"/>
      <c r="BZ12" s="230">
        <f t="shared" si="5"/>
        <v>18173215.941</v>
      </c>
      <c r="CA12" s="76"/>
      <c r="CB12" s="76"/>
    </row>
    <row r="13" spans="1:80" ht="12.75">
      <c r="A13" s="300" t="s">
        <v>563</v>
      </c>
      <c r="B13" s="10">
        <v>0</v>
      </c>
      <c r="C13" s="10">
        <v>0</v>
      </c>
      <c r="D13" s="10">
        <v>103808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383698</v>
      </c>
      <c r="L13" s="10">
        <v>88927</v>
      </c>
      <c r="M13" s="10">
        <v>23214</v>
      </c>
      <c r="N13" s="10">
        <v>10276.912</v>
      </c>
      <c r="O13" s="10">
        <v>0</v>
      </c>
      <c r="P13" s="10">
        <v>0</v>
      </c>
      <c r="Q13" s="10">
        <v>80515</v>
      </c>
      <c r="R13" s="10">
        <v>16664</v>
      </c>
      <c r="S13" s="10">
        <v>0</v>
      </c>
      <c r="T13" s="10">
        <v>61999.5</v>
      </c>
      <c r="U13" s="10">
        <v>0</v>
      </c>
      <c r="V13" s="10">
        <v>0</v>
      </c>
      <c r="W13" s="10">
        <v>0</v>
      </c>
      <c r="X13" s="10">
        <v>45321</v>
      </c>
      <c r="Y13" s="10">
        <v>0</v>
      </c>
      <c r="Z13" s="10">
        <v>23833</v>
      </c>
      <c r="AA13" s="10">
        <v>0</v>
      </c>
      <c r="AB13" s="10">
        <v>0</v>
      </c>
      <c r="AC13" s="10">
        <v>8319</v>
      </c>
      <c r="AD13" s="10">
        <v>0</v>
      </c>
      <c r="AE13" s="10">
        <v>0</v>
      </c>
      <c r="AF13" s="10">
        <v>8239</v>
      </c>
      <c r="AG13" s="10">
        <v>71771</v>
      </c>
      <c r="AH13" s="10">
        <v>27150</v>
      </c>
      <c r="AI13" s="10">
        <v>0</v>
      </c>
      <c r="AJ13" s="10">
        <v>0</v>
      </c>
      <c r="AK13" s="10">
        <v>0</v>
      </c>
      <c r="AL13" s="10">
        <v>13332</v>
      </c>
      <c r="AM13" s="10">
        <v>11723</v>
      </c>
      <c r="AN13" s="10">
        <v>0</v>
      </c>
      <c r="AO13" s="10"/>
      <c r="AP13" s="10">
        <v>7222</v>
      </c>
      <c r="AQ13" s="10">
        <v>14606</v>
      </c>
      <c r="AR13" s="10">
        <v>5772</v>
      </c>
      <c r="AS13" s="10">
        <v>44616</v>
      </c>
      <c r="AT13" s="10">
        <v>0</v>
      </c>
      <c r="AU13" s="10">
        <v>0</v>
      </c>
      <c r="AV13" s="10">
        <v>89540</v>
      </c>
      <c r="AW13" s="10">
        <v>26119</v>
      </c>
      <c r="AX13" s="10">
        <v>4876</v>
      </c>
      <c r="AY13" s="10">
        <v>21395</v>
      </c>
      <c r="AZ13" s="10">
        <v>0</v>
      </c>
      <c r="BA13" s="10">
        <v>1480</v>
      </c>
      <c r="BB13" s="10">
        <v>0</v>
      </c>
      <c r="BC13" s="10">
        <v>753</v>
      </c>
      <c r="BD13" s="10">
        <v>0</v>
      </c>
      <c r="BE13" s="10">
        <v>0</v>
      </c>
      <c r="BF13" s="10">
        <v>0</v>
      </c>
      <c r="BG13" s="10">
        <v>16051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10">
        <v>0</v>
      </c>
      <c r="BP13" s="10"/>
      <c r="BQ13" s="10"/>
      <c r="BR13" s="10"/>
      <c r="BS13" s="230">
        <f t="shared" si="6"/>
        <v>1211220.412</v>
      </c>
      <c r="BT13" s="230">
        <f t="shared" si="3"/>
        <v>47352</v>
      </c>
      <c r="BU13" s="230">
        <f aca="true" t="shared" si="8" ref="BU13:BU64">SUM(D13+F13+H13+J13+K13+M13+O13+Q13+S13+X13+AI13+AJ13+AT13)</f>
        <v>636556</v>
      </c>
      <c r="BV13" s="230">
        <f t="shared" si="7"/>
        <v>354955.412</v>
      </c>
      <c r="BW13" s="230">
        <f t="shared" si="4"/>
        <v>1038863.412</v>
      </c>
      <c r="BX13" s="230">
        <f aca="true" t="shared" si="9" ref="BX13:BX64">SUM(W13+Y13+Z13+AG13+AO13+AQ13+AS13+BA13+BG13+BI13+BJ13)</f>
        <v>172357</v>
      </c>
      <c r="BY13" s="230"/>
      <c r="BZ13" s="230">
        <f t="shared" si="5"/>
        <v>1211220.412</v>
      </c>
      <c r="CA13" s="76"/>
      <c r="CB13" s="76"/>
    </row>
    <row r="14" spans="1:80" ht="12.75">
      <c r="A14" s="300" t="s">
        <v>582</v>
      </c>
      <c r="B14" s="10">
        <v>0</v>
      </c>
      <c r="C14" s="10">
        <v>0</v>
      </c>
      <c r="D14" s="10">
        <v>18384</v>
      </c>
      <c r="E14" s="10">
        <v>0</v>
      </c>
      <c r="F14" s="10">
        <v>0</v>
      </c>
      <c r="G14" s="10">
        <v>12629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59814</v>
      </c>
      <c r="N14" s="10">
        <v>0</v>
      </c>
      <c r="O14" s="10">
        <v>0</v>
      </c>
      <c r="P14" s="10">
        <v>0</v>
      </c>
      <c r="Q14" s="10">
        <v>316006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6494</v>
      </c>
      <c r="AN14" s="10">
        <v>18233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/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/>
      <c r="BQ14" s="10"/>
      <c r="BR14" s="10"/>
      <c r="BS14" s="230">
        <f t="shared" si="6"/>
        <v>431560</v>
      </c>
      <c r="BT14" s="230">
        <f t="shared" si="3"/>
        <v>18233</v>
      </c>
      <c r="BU14" s="230">
        <f t="shared" si="8"/>
        <v>394204</v>
      </c>
      <c r="BV14" s="230">
        <f t="shared" si="7"/>
        <v>19123</v>
      </c>
      <c r="BW14" s="230">
        <f t="shared" si="4"/>
        <v>431560</v>
      </c>
      <c r="BX14" s="230">
        <f t="shared" si="9"/>
        <v>0</v>
      </c>
      <c r="BY14" s="230"/>
      <c r="BZ14" s="230">
        <f t="shared" si="5"/>
        <v>431560</v>
      </c>
      <c r="CA14" s="76"/>
      <c r="CB14" s="76"/>
    </row>
    <row r="15" spans="1:80" ht="12.75">
      <c r="A15" s="300" t="s">
        <v>589</v>
      </c>
      <c r="B15" s="10">
        <v>81912</v>
      </c>
      <c r="C15" s="10">
        <v>0</v>
      </c>
      <c r="D15" s="10">
        <v>0</v>
      </c>
      <c r="E15" s="10">
        <v>20697</v>
      </c>
      <c r="F15" s="10">
        <v>0</v>
      </c>
      <c r="G15" s="10">
        <v>59181</v>
      </c>
      <c r="H15" s="10">
        <v>0</v>
      </c>
      <c r="I15" s="10">
        <v>0</v>
      </c>
      <c r="J15" s="10">
        <v>88871</v>
      </c>
      <c r="K15" s="10">
        <v>124668</v>
      </c>
      <c r="L15" s="10">
        <v>9643</v>
      </c>
      <c r="M15" s="10">
        <v>0</v>
      </c>
      <c r="N15" s="10">
        <v>0</v>
      </c>
      <c r="O15" s="10">
        <v>0</v>
      </c>
      <c r="P15" s="10">
        <v>50572</v>
      </c>
      <c r="Q15" s="10">
        <v>0</v>
      </c>
      <c r="R15" s="10">
        <v>0</v>
      </c>
      <c r="S15" s="10">
        <v>0</v>
      </c>
      <c r="T15" s="10">
        <v>0</v>
      </c>
      <c r="U15" s="10">
        <v>24645</v>
      </c>
      <c r="V15" s="10">
        <v>0</v>
      </c>
      <c r="W15" s="10">
        <v>0</v>
      </c>
      <c r="X15" s="10">
        <v>0</v>
      </c>
      <c r="Y15" s="10">
        <v>103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1243</v>
      </c>
      <c r="AH15" s="10">
        <v>3975</v>
      </c>
      <c r="AI15" s="10">
        <v>0</v>
      </c>
      <c r="AJ15" s="10">
        <v>0</v>
      </c>
      <c r="AK15" s="10">
        <v>73866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47893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/>
      <c r="BQ15" s="10"/>
      <c r="BR15" s="10"/>
      <c r="BS15" s="230">
        <f t="shared" si="6"/>
        <v>587269</v>
      </c>
      <c r="BT15" s="230">
        <f t="shared" si="3"/>
        <v>123110</v>
      </c>
      <c r="BU15" s="230">
        <f t="shared" si="8"/>
        <v>213539</v>
      </c>
      <c r="BV15" s="230">
        <f t="shared" si="7"/>
        <v>249274</v>
      </c>
      <c r="BW15" s="230">
        <f t="shared" si="4"/>
        <v>585923</v>
      </c>
      <c r="BX15" s="230">
        <f t="shared" si="9"/>
        <v>1346</v>
      </c>
      <c r="BY15" s="230"/>
      <c r="BZ15" s="230">
        <f t="shared" si="5"/>
        <v>587269</v>
      </c>
      <c r="CA15" s="76"/>
      <c r="CB15" s="76"/>
    </row>
    <row r="16" spans="1:80" ht="12.75">
      <c r="A16" s="300" t="s">
        <v>210</v>
      </c>
      <c r="B16" s="10">
        <v>959975</v>
      </c>
      <c r="C16" s="10">
        <v>730979</v>
      </c>
      <c r="D16" s="10">
        <v>3453313</v>
      </c>
      <c r="E16" s="10">
        <v>1139326</v>
      </c>
      <c r="F16" s="10">
        <v>708184</v>
      </c>
      <c r="G16" s="10">
        <v>798183</v>
      </c>
      <c r="H16" s="10">
        <v>1122359</v>
      </c>
      <c r="I16" s="10">
        <v>154575</v>
      </c>
      <c r="J16" s="10">
        <v>294002</v>
      </c>
      <c r="K16" s="10">
        <v>562498</v>
      </c>
      <c r="L16" s="10">
        <v>471087</v>
      </c>
      <c r="M16" s="10">
        <v>777152</v>
      </c>
      <c r="N16" s="10">
        <v>439897.9</v>
      </c>
      <c r="O16" s="10">
        <v>408572</v>
      </c>
      <c r="P16" s="10">
        <v>0</v>
      </c>
      <c r="Q16" s="10">
        <v>483562</v>
      </c>
      <c r="R16" s="10">
        <v>462677</v>
      </c>
      <c r="S16" s="10">
        <v>552567</v>
      </c>
      <c r="T16" s="10">
        <v>186802.135</v>
      </c>
      <c r="U16" s="10">
        <v>0</v>
      </c>
      <c r="V16" s="10">
        <v>185645</v>
      </c>
      <c r="W16" s="10">
        <v>628317</v>
      </c>
      <c r="X16" s="10">
        <v>123730</v>
      </c>
      <c r="Y16" s="10">
        <v>271164</v>
      </c>
      <c r="Z16" s="10">
        <v>249232</v>
      </c>
      <c r="AA16" s="10">
        <v>0</v>
      </c>
      <c r="AB16" s="10">
        <v>42344</v>
      </c>
      <c r="AC16" s="10">
        <v>31214</v>
      </c>
      <c r="AD16" s="10">
        <v>22076</v>
      </c>
      <c r="AE16" s="10">
        <v>0</v>
      </c>
      <c r="AF16" s="10">
        <v>96745</v>
      </c>
      <c r="AG16" s="10">
        <v>4582</v>
      </c>
      <c r="AH16" s="10">
        <v>0</v>
      </c>
      <c r="AI16" s="10">
        <v>50226</v>
      </c>
      <c r="AJ16" s="10">
        <v>0</v>
      </c>
      <c r="AK16" s="10">
        <v>0</v>
      </c>
      <c r="AL16" s="10">
        <v>113618</v>
      </c>
      <c r="AM16" s="10">
        <v>7614</v>
      </c>
      <c r="AN16" s="10">
        <v>59720</v>
      </c>
      <c r="AO16" s="10">
        <v>5179</v>
      </c>
      <c r="AP16" s="10">
        <v>41687</v>
      </c>
      <c r="AQ16" s="10">
        <v>89170</v>
      </c>
      <c r="AR16" s="10">
        <v>34528</v>
      </c>
      <c r="AS16" s="10">
        <v>10519</v>
      </c>
      <c r="AT16" s="10">
        <v>31540</v>
      </c>
      <c r="AU16" s="10">
        <v>113206</v>
      </c>
      <c r="AV16" s="10">
        <v>97499</v>
      </c>
      <c r="AW16" s="10">
        <v>46245</v>
      </c>
      <c r="AX16" s="10">
        <v>19152</v>
      </c>
      <c r="AY16" s="10">
        <v>0</v>
      </c>
      <c r="AZ16" s="10">
        <v>0</v>
      </c>
      <c r="BA16" s="10">
        <v>43503</v>
      </c>
      <c r="BB16" s="10">
        <v>10680</v>
      </c>
      <c r="BC16" s="10">
        <v>34516</v>
      </c>
      <c r="BD16" s="10">
        <v>80063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/>
      <c r="BQ16" s="10"/>
      <c r="BR16" s="10"/>
      <c r="BS16" s="230">
        <f t="shared" si="6"/>
        <v>16249425.035</v>
      </c>
      <c r="BT16" s="230">
        <f t="shared" si="3"/>
        <v>1308368</v>
      </c>
      <c r="BU16" s="230">
        <f t="shared" si="8"/>
        <v>8567705</v>
      </c>
      <c r="BV16" s="230">
        <f t="shared" si="7"/>
        <v>5071686.035</v>
      </c>
      <c r="BW16" s="230">
        <f t="shared" si="4"/>
        <v>14947759.035</v>
      </c>
      <c r="BX16" s="230">
        <f t="shared" si="9"/>
        <v>1301666</v>
      </c>
      <c r="BY16" s="230"/>
      <c r="BZ16" s="230">
        <f t="shared" si="5"/>
        <v>16249425.035</v>
      </c>
      <c r="CA16" s="76"/>
      <c r="CB16" s="76"/>
    </row>
    <row r="17" spans="1:80" ht="12.75">
      <c r="A17" s="300" t="s">
        <v>204</v>
      </c>
      <c r="B17" s="10">
        <v>5391114</v>
      </c>
      <c r="C17" s="10">
        <v>443975</v>
      </c>
      <c r="D17" s="10">
        <v>2150443</v>
      </c>
      <c r="E17" s="10">
        <v>2858286</v>
      </c>
      <c r="F17" s="10">
        <v>924148</v>
      </c>
      <c r="G17" s="10">
        <v>831990</v>
      </c>
      <c r="H17" s="10">
        <v>975177</v>
      </c>
      <c r="I17" s="10">
        <v>376388</v>
      </c>
      <c r="J17" s="10">
        <v>722218</v>
      </c>
      <c r="K17" s="10">
        <v>282243</v>
      </c>
      <c r="L17" s="10">
        <v>581892</v>
      </c>
      <c r="M17" s="10">
        <v>1802614</v>
      </c>
      <c r="N17" s="10">
        <v>335842.668</v>
      </c>
      <c r="O17" s="10">
        <v>711445</v>
      </c>
      <c r="P17" s="10">
        <v>1294324</v>
      </c>
      <c r="Q17" s="10">
        <v>849864</v>
      </c>
      <c r="R17" s="10">
        <v>52575</v>
      </c>
      <c r="S17" s="10">
        <v>655136</v>
      </c>
      <c r="T17" s="10">
        <v>367414.297</v>
      </c>
      <c r="U17" s="10">
        <v>508102</v>
      </c>
      <c r="V17" s="10">
        <v>132210</v>
      </c>
      <c r="W17" s="10">
        <v>604385</v>
      </c>
      <c r="X17" s="10">
        <v>135454</v>
      </c>
      <c r="Y17" s="10">
        <v>262215</v>
      </c>
      <c r="Z17" s="10">
        <v>219653</v>
      </c>
      <c r="AA17" s="10">
        <v>0</v>
      </c>
      <c r="AB17" s="10">
        <v>63882</v>
      </c>
      <c r="AC17" s="10">
        <v>147866</v>
      </c>
      <c r="AD17" s="10">
        <v>84110</v>
      </c>
      <c r="AE17" s="10">
        <v>0</v>
      </c>
      <c r="AF17" s="10">
        <v>92673</v>
      </c>
      <c r="AG17" s="10">
        <v>33623</v>
      </c>
      <c r="AH17" s="10">
        <v>18970</v>
      </c>
      <c r="AI17" s="10">
        <v>52200</v>
      </c>
      <c r="AJ17" s="10">
        <v>0</v>
      </c>
      <c r="AK17" s="10">
        <v>149951</v>
      </c>
      <c r="AL17" s="10">
        <v>96949</v>
      </c>
      <c r="AM17" s="10">
        <v>31030</v>
      </c>
      <c r="AN17" s="10">
        <v>9994</v>
      </c>
      <c r="AO17" s="10">
        <v>67524</v>
      </c>
      <c r="AP17" s="10">
        <v>30511</v>
      </c>
      <c r="AQ17" s="10">
        <v>94079</v>
      </c>
      <c r="AR17" s="10">
        <v>64908</v>
      </c>
      <c r="AS17" s="10">
        <v>11539</v>
      </c>
      <c r="AT17" s="10">
        <v>94347</v>
      </c>
      <c r="AU17" s="10">
        <v>10716</v>
      </c>
      <c r="AV17" s="10">
        <v>84887</v>
      </c>
      <c r="AW17" s="10">
        <v>52516</v>
      </c>
      <c r="AX17" s="10">
        <v>68390</v>
      </c>
      <c r="AY17" s="10">
        <v>16941</v>
      </c>
      <c r="AZ17" s="10">
        <v>156736</v>
      </c>
      <c r="BA17" s="10">
        <v>31453</v>
      </c>
      <c r="BB17" s="10">
        <v>48724</v>
      </c>
      <c r="BC17" s="10">
        <v>16812</v>
      </c>
      <c r="BD17" s="10">
        <v>36300</v>
      </c>
      <c r="BE17" s="10">
        <v>0</v>
      </c>
      <c r="BF17" s="10">
        <v>0</v>
      </c>
      <c r="BG17" s="10">
        <v>0</v>
      </c>
      <c r="BH17" s="10">
        <v>0</v>
      </c>
      <c r="BI17" s="10">
        <v>18280</v>
      </c>
      <c r="BJ17" s="10">
        <v>0</v>
      </c>
      <c r="BK17" s="10">
        <v>23883</v>
      </c>
      <c r="BL17" s="10">
        <v>0</v>
      </c>
      <c r="BM17" s="10">
        <v>0</v>
      </c>
      <c r="BN17" s="10">
        <v>0</v>
      </c>
      <c r="BO17" s="10">
        <v>0</v>
      </c>
      <c r="BP17" s="10"/>
      <c r="BQ17" s="10"/>
      <c r="BR17" s="10"/>
      <c r="BS17" s="230">
        <f t="shared" si="6"/>
        <v>25178901.965</v>
      </c>
      <c r="BT17" s="230">
        <f t="shared" si="3"/>
        <v>2822230</v>
      </c>
      <c r="BU17" s="230">
        <f t="shared" si="8"/>
        <v>9355289</v>
      </c>
      <c r="BV17" s="230">
        <f t="shared" si="7"/>
        <v>11658631.965</v>
      </c>
      <c r="BW17" s="230">
        <f t="shared" si="4"/>
        <v>23836150.965</v>
      </c>
      <c r="BX17" s="230">
        <f t="shared" si="9"/>
        <v>1342751</v>
      </c>
      <c r="BY17" s="230"/>
      <c r="BZ17" s="230">
        <f t="shared" si="5"/>
        <v>25178901.965</v>
      </c>
      <c r="CA17" s="76"/>
      <c r="CB17" s="76"/>
    </row>
    <row r="18" spans="1:80" ht="12.75">
      <c r="A18" s="300" t="s">
        <v>205</v>
      </c>
      <c r="B18" s="10">
        <v>17196995</v>
      </c>
      <c r="C18" s="10">
        <v>5655576</v>
      </c>
      <c r="D18" s="10">
        <v>10706098</v>
      </c>
      <c r="E18" s="10">
        <v>13261214</v>
      </c>
      <c r="F18" s="10">
        <v>6826327</v>
      </c>
      <c r="G18" s="10">
        <v>6011677</v>
      </c>
      <c r="H18" s="10">
        <v>2968742</v>
      </c>
      <c r="I18" s="10">
        <v>1230178</v>
      </c>
      <c r="J18" s="10">
        <v>772573</v>
      </c>
      <c r="K18" s="10">
        <v>2025293</v>
      </c>
      <c r="L18" s="10">
        <v>1794175</v>
      </c>
      <c r="M18" s="10">
        <v>2942645</v>
      </c>
      <c r="N18" s="10">
        <v>1437822.534</v>
      </c>
      <c r="O18" s="10">
        <v>2776422</v>
      </c>
      <c r="P18" s="10">
        <v>2346896</v>
      </c>
      <c r="Q18" s="10">
        <v>1064576</v>
      </c>
      <c r="R18" s="10">
        <v>226242</v>
      </c>
      <c r="S18" s="10">
        <v>1478327</v>
      </c>
      <c r="T18" s="10">
        <v>1670514.044</v>
      </c>
      <c r="U18" s="10">
        <v>942201</v>
      </c>
      <c r="V18" s="10">
        <v>1725259</v>
      </c>
      <c r="W18" s="10">
        <v>1151833</v>
      </c>
      <c r="X18" s="10">
        <v>726325</v>
      </c>
      <c r="Y18" s="10">
        <v>93635</v>
      </c>
      <c r="Z18" s="10">
        <v>825248</v>
      </c>
      <c r="AA18" s="10">
        <v>10401</v>
      </c>
      <c r="AB18" s="10">
        <v>145907</v>
      </c>
      <c r="AC18" s="10">
        <v>465223</v>
      </c>
      <c r="AD18" s="10">
        <v>565205</v>
      </c>
      <c r="AE18" s="10">
        <v>0</v>
      </c>
      <c r="AF18" s="10">
        <v>613996</v>
      </c>
      <c r="AG18" s="10">
        <v>426897</v>
      </c>
      <c r="AH18" s="10">
        <v>339907</v>
      </c>
      <c r="AI18" s="10">
        <v>413780</v>
      </c>
      <c r="AJ18" s="10">
        <v>22608</v>
      </c>
      <c r="AK18" s="10">
        <f>424480+42679</f>
        <v>467159</v>
      </c>
      <c r="AL18" s="10">
        <v>453287</v>
      </c>
      <c r="AM18" s="10">
        <v>241016</v>
      </c>
      <c r="AN18" s="10">
        <v>116661</v>
      </c>
      <c r="AO18" s="10">
        <v>325391</v>
      </c>
      <c r="AP18" s="10">
        <v>176568</v>
      </c>
      <c r="AQ18" s="10">
        <v>217991</v>
      </c>
      <c r="AR18" s="10">
        <v>120901</v>
      </c>
      <c r="AS18" s="10">
        <v>272409</v>
      </c>
      <c r="AT18" s="10">
        <v>242701</v>
      </c>
      <c r="AU18" s="10">
        <v>188444</v>
      </c>
      <c r="AV18" s="10">
        <f>49179+65809</f>
        <v>114988</v>
      </c>
      <c r="AW18" s="10">
        <v>70499</v>
      </c>
      <c r="AX18" s="10">
        <v>376126</v>
      </c>
      <c r="AY18" s="10">
        <v>230792</v>
      </c>
      <c r="AZ18" s="10">
        <v>195057</v>
      </c>
      <c r="BA18" s="10">
        <v>115187</v>
      </c>
      <c r="BB18" s="10">
        <v>67950</v>
      </c>
      <c r="BC18" s="10">
        <v>103399</v>
      </c>
      <c r="BD18" s="10">
        <v>71461</v>
      </c>
      <c r="BE18" s="10">
        <v>0</v>
      </c>
      <c r="BF18" s="10">
        <v>19599</v>
      </c>
      <c r="BG18" s="10">
        <v>45604</v>
      </c>
      <c r="BH18" s="10">
        <v>30417</v>
      </c>
      <c r="BI18" s="10">
        <v>75811</v>
      </c>
      <c r="BJ18" s="10">
        <v>0</v>
      </c>
      <c r="BK18" s="10">
        <v>12242</v>
      </c>
      <c r="BL18" s="10">
        <v>0</v>
      </c>
      <c r="BM18" s="10">
        <v>10647</v>
      </c>
      <c r="BN18" s="10">
        <v>0</v>
      </c>
      <c r="BO18" s="10">
        <v>0</v>
      </c>
      <c r="BP18" s="10"/>
      <c r="BQ18" s="10"/>
      <c r="BR18" s="10"/>
      <c r="BS18" s="230">
        <f t="shared" si="6"/>
        <v>95223024.578</v>
      </c>
      <c r="BT18" s="230">
        <f t="shared" si="3"/>
        <v>12526233</v>
      </c>
      <c r="BU18" s="230">
        <f t="shared" si="8"/>
        <v>32966417</v>
      </c>
      <c r="BV18" s="230">
        <f t="shared" si="7"/>
        <v>46180368.578</v>
      </c>
      <c r="BW18" s="230">
        <f t="shared" si="4"/>
        <v>91673018.57800001</v>
      </c>
      <c r="BX18" s="230">
        <f t="shared" si="9"/>
        <v>3550006</v>
      </c>
      <c r="BY18" s="230"/>
      <c r="BZ18" s="230">
        <f t="shared" si="5"/>
        <v>95223024.57800001</v>
      </c>
      <c r="CA18" s="7"/>
      <c r="CB18" s="7"/>
    </row>
    <row r="19" spans="1:80" ht="12.75">
      <c r="A19" s="300" t="s">
        <v>206</v>
      </c>
      <c r="B19" s="10">
        <v>13072896</v>
      </c>
      <c r="C19" s="10">
        <v>5047479</v>
      </c>
      <c r="D19" s="10">
        <v>6888114</v>
      </c>
      <c r="E19" s="10">
        <v>10532245</v>
      </c>
      <c r="F19" s="10">
        <v>4701202</v>
      </c>
      <c r="G19" s="10">
        <v>4712849</v>
      </c>
      <c r="H19" s="10">
        <v>2130575</v>
      </c>
      <c r="I19" s="10">
        <v>930460</v>
      </c>
      <c r="J19" s="10">
        <v>243703</v>
      </c>
      <c r="K19" s="10">
        <v>1590939</v>
      </c>
      <c r="L19" s="10">
        <v>996840</v>
      </c>
      <c r="M19" s="10">
        <v>1053646</v>
      </c>
      <c r="N19" s="10">
        <v>1020001.808</v>
      </c>
      <c r="O19" s="10">
        <v>2018253</v>
      </c>
      <c r="P19" s="10">
        <v>2093690</v>
      </c>
      <c r="Q19" s="10">
        <v>690538</v>
      </c>
      <c r="R19" s="10">
        <v>209228</v>
      </c>
      <c r="S19" s="10">
        <v>1089403</v>
      </c>
      <c r="T19" s="10">
        <v>1382728.826</v>
      </c>
      <c r="U19" s="10">
        <v>942201</v>
      </c>
      <c r="V19" s="10">
        <v>1461418</v>
      </c>
      <c r="W19" s="10">
        <v>928633</v>
      </c>
      <c r="X19" s="10">
        <v>299611</v>
      </c>
      <c r="Y19" s="10">
        <v>905</v>
      </c>
      <c r="Z19" s="10">
        <v>450694</v>
      </c>
      <c r="AA19" s="10">
        <v>10401</v>
      </c>
      <c r="AB19" s="10">
        <v>122481</v>
      </c>
      <c r="AC19" s="10">
        <v>309773</v>
      </c>
      <c r="AD19" s="10">
        <v>439988</v>
      </c>
      <c r="AE19" s="10">
        <v>0</v>
      </c>
      <c r="AF19" s="10">
        <v>426799</v>
      </c>
      <c r="AG19" s="10">
        <v>414927</v>
      </c>
      <c r="AH19" s="10">
        <v>295784</v>
      </c>
      <c r="AI19" s="10">
        <v>320876</v>
      </c>
      <c r="AJ19" s="10">
        <v>22608</v>
      </c>
      <c r="AK19" s="10">
        <v>424480</v>
      </c>
      <c r="AL19" s="10">
        <v>331945</v>
      </c>
      <c r="AM19" s="10">
        <v>173089</v>
      </c>
      <c r="AN19" s="10">
        <v>116661</v>
      </c>
      <c r="AO19" s="10">
        <v>244321</v>
      </c>
      <c r="AP19" s="10">
        <v>129547</v>
      </c>
      <c r="AQ19" s="10">
        <v>137049</v>
      </c>
      <c r="AR19" s="10">
        <v>109903</v>
      </c>
      <c r="AS19" s="10">
        <v>203473</v>
      </c>
      <c r="AT19" s="10">
        <v>177573</v>
      </c>
      <c r="AU19" s="10">
        <v>163675</v>
      </c>
      <c r="AV19" s="10">
        <v>65809</v>
      </c>
      <c r="AW19" s="10">
        <v>52198</v>
      </c>
      <c r="AX19" s="10">
        <v>144083</v>
      </c>
      <c r="AY19" s="10">
        <v>120534</v>
      </c>
      <c r="AZ19" s="10">
        <v>105726</v>
      </c>
      <c r="BA19" s="10">
        <v>77110</v>
      </c>
      <c r="BB19" s="10">
        <v>52560</v>
      </c>
      <c r="BC19" s="10">
        <v>65576</v>
      </c>
      <c r="BD19" s="10">
        <v>20099</v>
      </c>
      <c r="BE19" s="10">
        <v>0</v>
      </c>
      <c r="BF19" s="10">
        <v>19599</v>
      </c>
      <c r="BG19" s="10">
        <v>40274</v>
      </c>
      <c r="BH19" s="10">
        <v>18803</v>
      </c>
      <c r="BI19" s="10">
        <v>75811</v>
      </c>
      <c r="BJ19" s="10">
        <v>0</v>
      </c>
      <c r="BK19" s="10">
        <v>12242</v>
      </c>
      <c r="BL19" s="10">
        <v>0</v>
      </c>
      <c r="BM19" s="10">
        <v>10647</v>
      </c>
      <c r="BN19" s="10">
        <v>0</v>
      </c>
      <c r="BO19" s="10">
        <v>0</v>
      </c>
      <c r="BP19" s="10"/>
      <c r="BQ19" s="10"/>
      <c r="BR19" s="10"/>
      <c r="BS19" s="230">
        <f t="shared" si="6"/>
        <v>69944676.634</v>
      </c>
      <c r="BT19" s="230">
        <f t="shared" si="3"/>
        <v>10933989</v>
      </c>
      <c r="BU19" s="230">
        <f t="shared" si="8"/>
        <v>21227041</v>
      </c>
      <c r="BV19" s="230">
        <f t="shared" si="7"/>
        <v>35210449.634</v>
      </c>
      <c r="BW19" s="230">
        <f t="shared" si="4"/>
        <v>67371479.634</v>
      </c>
      <c r="BX19" s="230">
        <f t="shared" si="9"/>
        <v>2573197</v>
      </c>
      <c r="BY19" s="230"/>
      <c r="BZ19" s="230">
        <f t="shared" si="5"/>
        <v>69944676.634</v>
      </c>
      <c r="CA19" s="76"/>
      <c r="CB19" s="76"/>
    </row>
    <row r="20" spans="1:80" ht="12.75">
      <c r="A20" s="300" t="s">
        <v>207</v>
      </c>
      <c r="B20" s="10">
        <v>3039969</v>
      </c>
      <c r="C20" s="10">
        <v>308151</v>
      </c>
      <c r="D20" s="10">
        <v>2332991</v>
      </c>
      <c r="E20" s="10">
        <v>1204995</v>
      </c>
      <c r="F20" s="10">
        <v>350507</v>
      </c>
      <c r="G20" s="10">
        <v>482180</v>
      </c>
      <c r="H20" s="10">
        <v>647409</v>
      </c>
      <c r="I20" s="10">
        <v>299718</v>
      </c>
      <c r="J20" s="10">
        <v>356279</v>
      </c>
      <c r="K20" s="10">
        <v>434354</v>
      </c>
      <c r="L20" s="10">
        <v>483977</v>
      </c>
      <c r="M20" s="10">
        <v>473631</v>
      </c>
      <c r="N20" s="10">
        <v>96274.685</v>
      </c>
      <c r="O20" s="10">
        <v>464979</v>
      </c>
      <c r="P20" s="10">
        <v>253206</v>
      </c>
      <c r="Q20" s="10">
        <v>303144</v>
      </c>
      <c r="R20" s="10">
        <v>17014</v>
      </c>
      <c r="S20" s="10">
        <v>78749</v>
      </c>
      <c r="T20" s="10">
        <v>30474.899</v>
      </c>
      <c r="U20" s="10">
        <v>0</v>
      </c>
      <c r="V20" s="10">
        <v>31240</v>
      </c>
      <c r="W20" s="10">
        <v>223200</v>
      </c>
      <c r="X20" s="10">
        <v>265870</v>
      </c>
      <c r="Y20" s="10">
        <v>4174</v>
      </c>
      <c r="Z20" s="10">
        <v>290692</v>
      </c>
      <c r="AA20" s="10">
        <v>0</v>
      </c>
      <c r="AB20" s="10">
        <v>0</v>
      </c>
      <c r="AC20" s="10">
        <v>97893</v>
      </c>
      <c r="AD20" s="10">
        <v>28483</v>
      </c>
      <c r="AE20" s="10">
        <v>0</v>
      </c>
      <c r="AF20" s="10">
        <v>115461</v>
      </c>
      <c r="AG20" s="10">
        <v>0</v>
      </c>
      <c r="AH20" s="10">
        <v>4046</v>
      </c>
      <c r="AI20" s="10">
        <v>44850</v>
      </c>
      <c r="AJ20" s="10">
        <v>0</v>
      </c>
      <c r="AK20" s="10">
        <v>42679</v>
      </c>
      <c r="AL20" s="10">
        <v>86715</v>
      </c>
      <c r="AM20" s="10">
        <v>51128</v>
      </c>
      <c r="AN20" s="10">
        <v>0</v>
      </c>
      <c r="AO20" s="10">
        <v>36467</v>
      </c>
      <c r="AP20" s="10">
        <v>17270</v>
      </c>
      <c r="AQ20" s="10">
        <v>59824</v>
      </c>
      <c r="AR20" s="10">
        <v>10998</v>
      </c>
      <c r="AS20" s="10">
        <v>0</v>
      </c>
      <c r="AT20" s="10">
        <v>10674</v>
      </c>
      <c r="AU20" s="10">
        <v>0</v>
      </c>
      <c r="AV20" s="10">
        <v>0</v>
      </c>
      <c r="AW20" s="10">
        <v>18301</v>
      </c>
      <c r="AX20" s="10">
        <v>64420</v>
      </c>
      <c r="AY20" s="10">
        <v>94110</v>
      </c>
      <c r="AZ20" s="10">
        <v>72572</v>
      </c>
      <c r="BA20" s="10">
        <v>0</v>
      </c>
      <c r="BB20" s="10">
        <v>15390</v>
      </c>
      <c r="BC20" s="10">
        <v>29711</v>
      </c>
      <c r="BD20" s="10">
        <v>51362</v>
      </c>
      <c r="BE20" s="10">
        <v>0</v>
      </c>
      <c r="BF20" s="10">
        <v>0</v>
      </c>
      <c r="BG20" s="10">
        <v>0</v>
      </c>
      <c r="BH20" s="10">
        <v>4799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/>
      <c r="BQ20" s="10"/>
      <c r="BR20" s="10"/>
      <c r="BS20" s="230">
        <f t="shared" si="6"/>
        <v>13430331.584</v>
      </c>
      <c r="BT20" s="230">
        <f t="shared" si="3"/>
        <v>854661</v>
      </c>
      <c r="BU20" s="230">
        <f t="shared" si="8"/>
        <v>5763437</v>
      </c>
      <c r="BV20" s="230">
        <f t="shared" si="7"/>
        <v>6197876.584</v>
      </c>
      <c r="BW20" s="230">
        <f t="shared" si="4"/>
        <v>12815974.583999999</v>
      </c>
      <c r="BX20" s="230">
        <f t="shared" si="9"/>
        <v>614357</v>
      </c>
      <c r="BY20" s="230"/>
      <c r="BZ20" s="230">
        <f t="shared" si="5"/>
        <v>13430331.583999999</v>
      </c>
      <c r="CA20" s="76"/>
      <c r="CB20" s="76"/>
    </row>
    <row r="21" spans="1:80" ht="12.75">
      <c r="A21" s="300" t="s">
        <v>208</v>
      </c>
      <c r="B21" s="10">
        <v>1142588</v>
      </c>
      <c r="C21" s="10">
        <v>341361</v>
      </c>
      <c r="D21" s="10">
        <v>152129</v>
      </c>
      <c r="E21" s="10">
        <v>88252</v>
      </c>
      <c r="F21" s="10">
        <v>833949</v>
      </c>
      <c r="G21" s="10">
        <v>276186</v>
      </c>
      <c r="H21" s="10">
        <v>156751</v>
      </c>
      <c r="I21" s="10">
        <v>484558</v>
      </c>
      <c r="J21" s="10">
        <v>159829</v>
      </c>
      <c r="K21" s="10">
        <v>0</v>
      </c>
      <c r="L21" s="10">
        <v>155557</v>
      </c>
      <c r="M21" s="10">
        <v>300278</v>
      </c>
      <c r="N21" s="10">
        <v>160675.094</v>
      </c>
      <c r="O21" s="10">
        <v>146118</v>
      </c>
      <c r="P21" s="10">
        <v>0</v>
      </c>
      <c r="Q21" s="10">
        <v>246103</v>
      </c>
      <c r="R21" s="10">
        <v>0</v>
      </c>
      <c r="S21" s="10">
        <v>214421</v>
      </c>
      <c r="T21" s="10">
        <v>79375.132</v>
      </c>
      <c r="U21" s="10">
        <v>0</v>
      </c>
      <c r="V21" s="10">
        <v>98357</v>
      </c>
      <c r="W21" s="10">
        <v>189131</v>
      </c>
      <c r="X21" s="10">
        <v>36579</v>
      </c>
      <c r="Y21" s="10">
        <v>21020</v>
      </c>
      <c r="Z21" s="10">
        <v>40371</v>
      </c>
      <c r="AA21" s="10">
        <v>0</v>
      </c>
      <c r="AB21" s="10">
        <v>17168</v>
      </c>
      <c r="AC21" s="10">
        <v>0</v>
      </c>
      <c r="AD21" s="10">
        <v>0</v>
      </c>
      <c r="AE21" s="10">
        <v>0</v>
      </c>
      <c r="AF21" s="10">
        <v>10882</v>
      </c>
      <c r="AG21" s="10">
        <v>35961</v>
      </c>
      <c r="AH21" s="10">
        <v>14128</v>
      </c>
      <c r="AI21" s="10">
        <v>34426</v>
      </c>
      <c r="AJ21" s="10">
        <v>0</v>
      </c>
      <c r="AK21" s="10">
        <v>22334</v>
      </c>
      <c r="AL21" s="10">
        <v>25601</v>
      </c>
      <c r="AM21" s="10">
        <v>27871</v>
      </c>
      <c r="AN21" s="10">
        <v>0</v>
      </c>
      <c r="AO21" s="10">
        <v>5087</v>
      </c>
      <c r="AP21" s="10">
        <v>5268</v>
      </c>
      <c r="AQ21" s="10">
        <v>5420</v>
      </c>
      <c r="AR21" s="10">
        <v>0</v>
      </c>
      <c r="AS21" s="10">
        <v>0</v>
      </c>
      <c r="AT21" s="10">
        <v>39101</v>
      </c>
      <c r="AU21" s="10">
        <v>43782</v>
      </c>
      <c r="AV21" s="10">
        <v>11838</v>
      </c>
      <c r="AW21" s="10">
        <v>0</v>
      </c>
      <c r="AX21" s="10">
        <v>0</v>
      </c>
      <c r="AY21" s="10">
        <v>3231</v>
      </c>
      <c r="AZ21" s="10">
        <v>0</v>
      </c>
      <c r="BA21" s="10">
        <v>9444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17750</v>
      </c>
      <c r="BH21" s="10">
        <v>5029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/>
      <c r="BQ21" s="10"/>
      <c r="BR21" s="10"/>
      <c r="BS21" s="230">
        <f t="shared" si="6"/>
        <v>5657909.226</v>
      </c>
      <c r="BT21" s="230">
        <f t="shared" si="3"/>
        <v>460897</v>
      </c>
      <c r="BU21" s="230">
        <f t="shared" si="8"/>
        <v>2319684</v>
      </c>
      <c r="BV21" s="230">
        <f t="shared" si="7"/>
        <v>2553144.2260000003</v>
      </c>
      <c r="BW21" s="230">
        <f t="shared" si="4"/>
        <v>5333725.226</v>
      </c>
      <c r="BX21" s="230">
        <f t="shared" si="9"/>
        <v>324184</v>
      </c>
      <c r="BY21" s="230"/>
      <c r="BZ21" s="230">
        <f t="shared" si="5"/>
        <v>5657909.226</v>
      </c>
      <c r="CA21" s="76"/>
      <c r="CB21" s="76"/>
    </row>
    <row r="22" spans="1:80" ht="12.75">
      <c r="A22" s="300" t="s">
        <v>209</v>
      </c>
      <c r="B22" s="10">
        <v>1680475</v>
      </c>
      <c r="C22" s="10">
        <v>21373</v>
      </c>
      <c r="D22" s="10">
        <v>3508634</v>
      </c>
      <c r="E22" s="10">
        <v>451298</v>
      </c>
      <c r="F22" s="10">
        <v>0</v>
      </c>
      <c r="G22" s="10">
        <v>165298</v>
      </c>
      <c r="H22" s="10">
        <v>533480</v>
      </c>
      <c r="I22" s="10">
        <v>623604</v>
      </c>
      <c r="J22" s="10">
        <v>1109301</v>
      </c>
      <c r="K22" s="10">
        <v>2254111</v>
      </c>
      <c r="L22" s="10">
        <v>296628</v>
      </c>
      <c r="M22" s="10">
        <v>495291</v>
      </c>
      <c r="N22" s="10">
        <v>0</v>
      </c>
      <c r="O22" s="10">
        <v>220463</v>
      </c>
      <c r="P22" s="10">
        <v>0</v>
      </c>
      <c r="Q22" s="10">
        <v>21851</v>
      </c>
      <c r="R22" s="10">
        <v>251966</v>
      </c>
      <c r="S22" s="10">
        <f>81317+5327</f>
        <v>86644</v>
      </c>
      <c r="T22" s="10">
        <v>165072.297</v>
      </c>
      <c r="U22" s="10">
        <v>0</v>
      </c>
      <c r="V22" s="10">
        <v>21373</v>
      </c>
      <c r="W22" s="10">
        <v>420542</v>
      </c>
      <c r="X22" s="10">
        <v>128279</v>
      </c>
      <c r="Y22" s="10">
        <v>0</v>
      </c>
      <c r="Z22" s="10">
        <v>182487</v>
      </c>
      <c r="AA22" s="10">
        <v>0</v>
      </c>
      <c r="AB22" s="10">
        <v>75834</v>
      </c>
      <c r="AC22" s="10">
        <v>26520</v>
      </c>
      <c r="AD22" s="10">
        <v>97854</v>
      </c>
      <c r="AE22" s="10">
        <v>0</v>
      </c>
      <c r="AF22" s="10">
        <v>19861</v>
      </c>
      <c r="AG22" s="10">
        <v>89006</v>
      </c>
      <c r="AH22" s="10">
        <v>8775</v>
      </c>
      <c r="AI22" s="10">
        <v>39831</v>
      </c>
      <c r="AJ22" s="10">
        <v>0</v>
      </c>
      <c r="AK22" s="10">
        <v>0</v>
      </c>
      <c r="AL22" s="10">
        <v>14798</v>
      </c>
      <c r="AM22" s="10">
        <v>161042</v>
      </c>
      <c r="AN22" s="10">
        <v>407809</v>
      </c>
      <c r="AO22" s="10">
        <v>59539</v>
      </c>
      <c r="AP22" s="10">
        <v>205885</v>
      </c>
      <c r="AQ22" s="10">
        <v>15022</v>
      </c>
      <c r="AR22" s="10">
        <v>0</v>
      </c>
      <c r="AS22" s="10">
        <v>33571</v>
      </c>
      <c r="AT22" s="10">
        <v>5118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35018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20476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/>
      <c r="BQ22" s="10"/>
      <c r="BR22" s="10"/>
      <c r="BS22" s="230">
        <f t="shared" si="6"/>
        <v>13954129.297</v>
      </c>
      <c r="BT22" s="230">
        <f t="shared" si="3"/>
        <v>774155</v>
      </c>
      <c r="BU22" s="230">
        <f t="shared" si="8"/>
        <v>8403003</v>
      </c>
      <c r="BV22" s="230">
        <f t="shared" si="7"/>
        <v>3921310.297</v>
      </c>
      <c r="BW22" s="230">
        <f t="shared" si="4"/>
        <v>13098468.297</v>
      </c>
      <c r="BX22" s="230">
        <f t="shared" si="9"/>
        <v>855661</v>
      </c>
      <c r="BY22" s="230"/>
      <c r="BZ22" s="230">
        <f t="shared" si="5"/>
        <v>13954129.297</v>
      </c>
      <c r="CA22" s="76"/>
      <c r="CB22" s="76"/>
    </row>
    <row r="23" spans="1:80" ht="12.75">
      <c r="A23" s="300" t="s">
        <v>564</v>
      </c>
      <c r="B23" s="10">
        <v>0</v>
      </c>
      <c r="C23" s="10">
        <v>0</v>
      </c>
      <c r="D23" s="10">
        <v>126293</v>
      </c>
      <c r="E23" s="10">
        <v>0</v>
      </c>
      <c r="F23" s="10">
        <v>52176</v>
      </c>
      <c r="G23" s="10">
        <v>0</v>
      </c>
      <c r="H23" s="10">
        <v>337709</v>
      </c>
      <c r="I23" s="10">
        <v>52050</v>
      </c>
      <c r="J23" s="10">
        <v>195351</v>
      </c>
      <c r="K23" s="10">
        <v>0</v>
      </c>
      <c r="L23" s="10">
        <v>11364</v>
      </c>
      <c r="M23" s="10">
        <v>33629</v>
      </c>
      <c r="N23" s="10">
        <v>25076.253</v>
      </c>
      <c r="O23" s="10">
        <v>0</v>
      </c>
      <c r="P23" s="10">
        <v>0</v>
      </c>
      <c r="Q23" s="10">
        <v>138989</v>
      </c>
      <c r="R23" s="10">
        <v>237557</v>
      </c>
      <c r="S23" s="10">
        <v>38749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56776</v>
      </c>
      <c r="AF23" s="10">
        <v>0</v>
      </c>
      <c r="AG23" s="10">
        <v>0</v>
      </c>
      <c r="AH23" s="10">
        <v>37658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3211</v>
      </c>
      <c r="AP23" s="10">
        <v>70158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/>
      <c r="BQ23" s="10"/>
      <c r="BR23" s="10"/>
      <c r="BS23" s="230">
        <f t="shared" si="6"/>
        <v>1416746.253</v>
      </c>
      <c r="BT23" s="230">
        <f t="shared" si="3"/>
        <v>70158</v>
      </c>
      <c r="BU23" s="230">
        <f t="shared" si="8"/>
        <v>922896</v>
      </c>
      <c r="BV23" s="230">
        <f t="shared" si="7"/>
        <v>420481.253</v>
      </c>
      <c r="BW23" s="230">
        <f t="shared" si="4"/>
        <v>1413535.253</v>
      </c>
      <c r="BX23" s="230">
        <f t="shared" si="9"/>
        <v>3211</v>
      </c>
      <c r="BY23" s="230"/>
      <c r="BZ23" s="230">
        <f t="shared" si="5"/>
        <v>1416746.253</v>
      </c>
      <c r="CA23" s="7"/>
      <c r="CB23" s="7"/>
    </row>
    <row r="24" spans="1:80" ht="12.75">
      <c r="A24" s="300" t="s">
        <v>565</v>
      </c>
      <c r="B24" s="10">
        <v>0</v>
      </c>
      <c r="C24" s="10">
        <v>0</v>
      </c>
      <c r="D24" s="10">
        <v>126293</v>
      </c>
      <c r="E24" s="10">
        <v>0</v>
      </c>
      <c r="F24" s="10">
        <v>52176</v>
      </c>
      <c r="G24" s="10">
        <v>0</v>
      </c>
      <c r="H24" s="10">
        <v>337709</v>
      </c>
      <c r="I24" s="10">
        <v>0</v>
      </c>
      <c r="J24" s="10">
        <v>195351</v>
      </c>
      <c r="K24" s="10">
        <v>0</v>
      </c>
      <c r="L24" s="10">
        <v>11364</v>
      </c>
      <c r="M24" s="10">
        <v>0</v>
      </c>
      <c r="N24" s="10">
        <v>25076.253</v>
      </c>
      <c r="O24" s="10">
        <v>0</v>
      </c>
      <c r="P24" s="10">
        <v>0</v>
      </c>
      <c r="Q24" s="10">
        <v>138989</v>
      </c>
      <c r="R24" s="10">
        <v>237557</v>
      </c>
      <c r="S24" s="10">
        <v>11242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56776</v>
      </c>
      <c r="AF24" s="10">
        <v>0</v>
      </c>
      <c r="AG24" s="10">
        <v>0</v>
      </c>
      <c r="AH24" s="10">
        <v>37658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3211</v>
      </c>
      <c r="AP24" s="10">
        <v>65039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/>
      <c r="BQ24" s="10"/>
      <c r="BR24" s="10"/>
      <c r="BS24" s="230">
        <f t="shared" si="6"/>
        <v>1298441.253</v>
      </c>
      <c r="BT24" s="230">
        <f t="shared" si="3"/>
        <v>65039</v>
      </c>
      <c r="BU24" s="230">
        <f t="shared" si="8"/>
        <v>861760</v>
      </c>
      <c r="BV24" s="230">
        <f t="shared" si="7"/>
        <v>368431.253</v>
      </c>
      <c r="BW24" s="230">
        <f t="shared" si="4"/>
        <v>1295230.253</v>
      </c>
      <c r="BX24" s="230">
        <f t="shared" si="9"/>
        <v>3211</v>
      </c>
      <c r="BY24" s="230"/>
      <c r="BZ24" s="230">
        <f t="shared" si="5"/>
        <v>1298441.253</v>
      </c>
      <c r="CA24" s="76"/>
      <c r="CB24" s="76"/>
    </row>
    <row r="25" spans="1:80" ht="12.75">
      <c r="A25" s="300" t="s">
        <v>566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33629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24507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5119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/>
      <c r="BQ25" s="10"/>
      <c r="BR25" s="10"/>
      <c r="BS25" s="230">
        <f t="shared" si="6"/>
        <v>63255</v>
      </c>
      <c r="BT25" s="230">
        <f t="shared" si="3"/>
        <v>5119</v>
      </c>
      <c r="BU25" s="230">
        <f t="shared" si="8"/>
        <v>58136</v>
      </c>
      <c r="BV25" s="230">
        <f t="shared" si="7"/>
        <v>0</v>
      </c>
      <c r="BW25" s="230">
        <f t="shared" si="4"/>
        <v>63255</v>
      </c>
      <c r="BX25" s="230">
        <f t="shared" si="9"/>
        <v>0</v>
      </c>
      <c r="BY25" s="230"/>
      <c r="BZ25" s="230">
        <f t="shared" si="5"/>
        <v>63255</v>
      </c>
      <c r="CA25" s="76"/>
      <c r="CB25" s="76"/>
    </row>
    <row r="26" spans="1:80" s="291" customFormat="1" ht="15" customHeight="1">
      <c r="A26" s="298" t="s">
        <v>618</v>
      </c>
      <c r="B26" s="226">
        <f aca="true" t="shared" si="10" ref="B26:AC26">B11+B16+B17+B18+B21+B22+B23</f>
        <v>28113383</v>
      </c>
      <c r="C26" s="226">
        <f t="shared" si="10"/>
        <v>9023492</v>
      </c>
      <c r="D26" s="226">
        <f t="shared" si="10"/>
        <v>21529129</v>
      </c>
      <c r="E26" s="226">
        <f t="shared" si="10"/>
        <v>19506323</v>
      </c>
      <c r="F26" s="226">
        <f t="shared" si="10"/>
        <v>9848322</v>
      </c>
      <c r="G26" s="226">
        <f t="shared" si="10"/>
        <v>9463548</v>
      </c>
      <c r="H26" s="226">
        <f t="shared" si="10"/>
        <v>7042854</v>
      </c>
      <c r="I26" s="226">
        <f t="shared" si="10"/>
        <v>3042459</v>
      </c>
      <c r="J26" s="226">
        <f t="shared" si="10"/>
        <v>3695935</v>
      </c>
      <c r="K26" s="226">
        <f t="shared" si="10"/>
        <v>6154618</v>
      </c>
      <c r="L26" s="226">
        <f t="shared" si="10"/>
        <v>3976118</v>
      </c>
      <c r="M26" s="226">
        <f t="shared" si="10"/>
        <v>6798430</v>
      </c>
      <c r="N26" s="226">
        <f aca="true" t="shared" si="11" ref="N26:U26">N11+N16+N17+N18+N21+N22+N23</f>
        <v>2451521.927</v>
      </c>
      <c r="O26" s="226">
        <f t="shared" si="11"/>
        <v>4263020</v>
      </c>
      <c r="P26" s="226">
        <f t="shared" si="11"/>
        <v>3969736</v>
      </c>
      <c r="Q26" s="226">
        <f t="shared" si="11"/>
        <v>3740375</v>
      </c>
      <c r="R26" s="226">
        <f t="shared" si="11"/>
        <v>1247681</v>
      </c>
      <c r="S26" s="226">
        <f t="shared" si="11"/>
        <v>3077543</v>
      </c>
      <c r="T26" s="226">
        <f t="shared" si="11"/>
        <v>3549095.78</v>
      </c>
      <c r="U26" s="226">
        <f t="shared" si="11"/>
        <v>2209932</v>
      </c>
      <c r="V26" s="226">
        <f t="shared" si="10"/>
        <v>2249516</v>
      </c>
      <c r="W26" s="226">
        <f t="shared" si="10"/>
        <v>3368475</v>
      </c>
      <c r="X26" s="226">
        <f t="shared" si="10"/>
        <v>1528211</v>
      </c>
      <c r="Y26" s="226">
        <f>Y11+Y16+Y17+Y18+Y21+Y22+Y23</f>
        <v>649278</v>
      </c>
      <c r="Z26" s="226">
        <f t="shared" si="10"/>
        <v>1912035</v>
      </c>
      <c r="AA26" s="226">
        <f>AA11+AA16+AA17+AA18+AA21+AA22+AA23</f>
        <v>10401</v>
      </c>
      <c r="AB26" s="226">
        <f>AB11+AB16+AB17+AB18+AB21+AB22+AB23</f>
        <v>521861</v>
      </c>
      <c r="AC26" s="226">
        <f t="shared" si="10"/>
        <v>808663</v>
      </c>
      <c r="AD26" s="226">
        <f aca="true" t="shared" si="12" ref="AD26:BO26">AD11+AD16+AD17+AD18+AD21+AD22+AD23</f>
        <v>916054</v>
      </c>
      <c r="AE26" s="226">
        <f t="shared" si="12"/>
        <v>56776</v>
      </c>
      <c r="AF26" s="226">
        <f t="shared" si="12"/>
        <v>1306899</v>
      </c>
      <c r="AG26" s="226">
        <f t="shared" si="12"/>
        <v>1202700</v>
      </c>
      <c r="AH26" s="226">
        <f t="shared" si="12"/>
        <v>833485</v>
      </c>
      <c r="AI26" s="226">
        <f t="shared" si="12"/>
        <v>625954</v>
      </c>
      <c r="AJ26" s="226">
        <f t="shared" si="12"/>
        <v>22608</v>
      </c>
      <c r="AK26" s="226">
        <f t="shared" si="12"/>
        <v>802949</v>
      </c>
      <c r="AL26" s="226">
        <f t="shared" si="12"/>
        <v>802769</v>
      </c>
      <c r="AM26" s="226">
        <f t="shared" si="12"/>
        <v>621823</v>
      </c>
      <c r="AN26" s="226">
        <f t="shared" si="12"/>
        <v>625905</v>
      </c>
      <c r="AO26" s="226">
        <f t="shared" si="12"/>
        <v>505752</v>
      </c>
      <c r="AP26" s="226">
        <f t="shared" si="12"/>
        <v>537299</v>
      </c>
      <c r="AQ26" s="226">
        <f t="shared" si="12"/>
        <v>602912</v>
      </c>
      <c r="AR26" s="226">
        <f t="shared" si="12"/>
        <v>342756</v>
      </c>
      <c r="AS26" s="226">
        <f t="shared" si="12"/>
        <v>533951</v>
      </c>
      <c r="AT26" s="226">
        <f t="shared" si="12"/>
        <v>425462</v>
      </c>
      <c r="AU26" s="226">
        <f>AU11+AU16+AU17+AU18+AU21+AU22+AU23</f>
        <v>356148</v>
      </c>
      <c r="AV26" s="226">
        <f t="shared" si="12"/>
        <v>422660</v>
      </c>
      <c r="AW26" s="226">
        <f t="shared" si="12"/>
        <v>307455</v>
      </c>
      <c r="AX26" s="226">
        <f t="shared" si="12"/>
        <v>498192</v>
      </c>
      <c r="AY26" s="226">
        <f t="shared" si="12"/>
        <v>371035</v>
      </c>
      <c r="AZ26" s="226">
        <f t="shared" si="12"/>
        <v>351793</v>
      </c>
      <c r="BA26" s="226">
        <f t="shared" si="12"/>
        <v>268897</v>
      </c>
      <c r="BB26" s="226">
        <f t="shared" si="12"/>
        <v>127354</v>
      </c>
      <c r="BC26" s="226">
        <f t="shared" si="12"/>
        <v>222344</v>
      </c>
      <c r="BD26" s="226">
        <f t="shared" si="12"/>
        <v>209671</v>
      </c>
      <c r="BE26" s="226">
        <f t="shared" si="12"/>
        <v>0</v>
      </c>
      <c r="BF26" s="226">
        <f>BF11+BF16+BF17+BF18+BF21+BF22+BF23</f>
        <v>95512</v>
      </c>
      <c r="BG26" s="226">
        <f t="shared" si="12"/>
        <v>133168</v>
      </c>
      <c r="BH26" s="226">
        <f t="shared" si="12"/>
        <v>35446</v>
      </c>
      <c r="BI26" s="226">
        <f t="shared" si="12"/>
        <v>96107</v>
      </c>
      <c r="BJ26" s="226">
        <f t="shared" si="12"/>
        <v>22838</v>
      </c>
      <c r="BK26" s="226">
        <f t="shared" si="12"/>
        <v>36125</v>
      </c>
      <c r="BL26" s="226">
        <f t="shared" si="12"/>
        <v>0</v>
      </c>
      <c r="BM26" s="226">
        <f t="shared" si="12"/>
        <v>10647</v>
      </c>
      <c r="BN26" s="226">
        <f t="shared" si="12"/>
        <v>0</v>
      </c>
      <c r="BO26" s="226">
        <f t="shared" si="12"/>
        <v>0</v>
      </c>
      <c r="BP26" s="226"/>
      <c r="BQ26" s="226"/>
      <c r="BR26" s="226"/>
      <c r="BS26" s="230">
        <f t="shared" si="6"/>
        <v>178083401.707</v>
      </c>
      <c r="BT26" s="230">
        <f t="shared" si="3"/>
        <v>21908041</v>
      </c>
      <c r="BU26" s="230">
        <f t="shared" si="8"/>
        <v>68752461</v>
      </c>
      <c r="BV26" s="230">
        <f t="shared" si="7"/>
        <v>78126786.707</v>
      </c>
      <c r="BW26" s="230">
        <f t="shared" si="4"/>
        <v>168787288.70700002</v>
      </c>
      <c r="BX26" s="230">
        <f t="shared" si="9"/>
        <v>9296113</v>
      </c>
      <c r="BY26" s="230"/>
      <c r="BZ26" s="230">
        <f t="shared" si="5"/>
        <v>178083401.70700002</v>
      </c>
      <c r="CA26" s="87"/>
      <c r="CB26" s="87"/>
    </row>
    <row r="27" spans="1:80" ht="6.75" customHeight="1">
      <c r="A27" s="301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274"/>
      <c r="BG27" s="274"/>
      <c r="BH27" s="274"/>
      <c r="BI27" s="274"/>
      <c r="BJ27" s="274"/>
      <c r="BK27" s="274"/>
      <c r="BL27" s="274"/>
      <c r="BM27" s="274"/>
      <c r="BN27" s="274"/>
      <c r="BO27" s="274"/>
      <c r="BP27" s="274"/>
      <c r="BQ27" s="274"/>
      <c r="BR27" s="274"/>
      <c r="BS27" s="230"/>
      <c r="BT27" s="230"/>
      <c r="BU27" s="230"/>
      <c r="BV27" s="230"/>
      <c r="BW27" s="230"/>
      <c r="BX27" s="230"/>
      <c r="BY27" s="230"/>
      <c r="BZ27" s="230"/>
      <c r="CA27" s="7"/>
      <c r="CB27" s="7"/>
    </row>
    <row r="28" spans="1:80" s="291" customFormat="1" ht="12.75">
      <c r="A28" s="290" t="s">
        <v>569</v>
      </c>
      <c r="BS28" s="230"/>
      <c r="BT28" s="230"/>
      <c r="BU28" s="230"/>
      <c r="BV28" s="230"/>
      <c r="BW28" s="230"/>
      <c r="BX28" s="230"/>
      <c r="BZ28" s="230"/>
      <c r="CA28" s="13"/>
      <c r="CB28" s="13"/>
    </row>
    <row r="29" spans="1:80" ht="16.5" customHeight="1">
      <c r="A29" s="300" t="s">
        <v>588</v>
      </c>
      <c r="B29" s="10">
        <v>0</v>
      </c>
      <c r="C29" s="10">
        <v>2138886</v>
      </c>
      <c r="D29" s="10">
        <v>0</v>
      </c>
      <c r="E29" s="10">
        <v>14578</v>
      </c>
      <c r="F29" s="10">
        <v>391665</v>
      </c>
      <c r="G29" s="10">
        <v>0</v>
      </c>
      <c r="H29" s="10">
        <v>13250</v>
      </c>
      <c r="I29" s="10">
        <v>0</v>
      </c>
      <c r="J29" s="10">
        <v>117982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75429</v>
      </c>
      <c r="R29" s="10">
        <v>0</v>
      </c>
      <c r="S29" s="10">
        <v>0</v>
      </c>
      <c r="T29" s="10">
        <v>0</v>
      </c>
      <c r="U29" s="10">
        <v>2619</v>
      </c>
      <c r="V29" s="10">
        <v>2279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42723</v>
      </c>
      <c r="AC29" s="10">
        <v>0</v>
      </c>
      <c r="AD29" s="10">
        <v>0</v>
      </c>
      <c r="AE29" s="10">
        <v>0</v>
      </c>
      <c r="AF29" s="10">
        <v>309457</v>
      </c>
      <c r="AG29" s="10">
        <v>32978</v>
      </c>
      <c r="AH29" s="10">
        <v>1489</v>
      </c>
      <c r="AI29" s="10">
        <v>0</v>
      </c>
      <c r="AJ29" s="10">
        <v>0</v>
      </c>
      <c r="AK29" s="10">
        <v>36409</v>
      </c>
      <c r="AL29" s="10">
        <v>0</v>
      </c>
      <c r="AM29" s="10">
        <v>0</v>
      </c>
      <c r="AN29" s="10">
        <v>0</v>
      </c>
      <c r="AO29" s="10">
        <v>3866</v>
      </c>
      <c r="AP29" s="10">
        <v>0</v>
      </c>
      <c r="AQ29" s="10">
        <v>0</v>
      </c>
      <c r="AR29" s="10">
        <v>0</v>
      </c>
      <c r="AS29" s="10">
        <v>5114</v>
      </c>
      <c r="AT29" s="10">
        <v>0</v>
      </c>
      <c r="AU29" s="10">
        <v>0</v>
      </c>
      <c r="AV29" s="10">
        <v>0</v>
      </c>
      <c r="AW29" s="10">
        <v>758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/>
      <c r="BF29" s="10">
        <v>0</v>
      </c>
      <c r="BG29" s="10">
        <v>0</v>
      </c>
      <c r="BH29" s="10">
        <v>17398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/>
      <c r="BQ29" s="10"/>
      <c r="BR29" s="10"/>
      <c r="BS29" s="230">
        <f t="shared" si="6"/>
        <v>3206880</v>
      </c>
      <c r="BT29" s="230">
        <f t="shared" si="3"/>
        <v>2471397</v>
      </c>
      <c r="BU29" s="230">
        <f t="shared" si="8"/>
        <v>598326</v>
      </c>
      <c r="BV29" s="230">
        <f t="shared" si="7"/>
        <v>95199</v>
      </c>
      <c r="BW29" s="230">
        <f t="shared" si="4"/>
        <v>3164922</v>
      </c>
      <c r="BX29" s="230">
        <f t="shared" si="9"/>
        <v>41958</v>
      </c>
      <c r="BY29" s="230"/>
      <c r="BZ29" s="230">
        <f t="shared" si="5"/>
        <v>3206880</v>
      </c>
      <c r="CA29" s="7"/>
      <c r="CB29" s="7"/>
    </row>
    <row r="30" spans="1:80" ht="12.75">
      <c r="A30" s="300" t="s">
        <v>210</v>
      </c>
      <c r="B30" s="10">
        <v>0</v>
      </c>
      <c r="C30" s="10">
        <v>0</v>
      </c>
      <c r="D30" s="10">
        <v>0</v>
      </c>
      <c r="E30" s="10">
        <v>0</v>
      </c>
      <c r="F30" s="10">
        <v>1206615</v>
      </c>
      <c r="G30" s="10">
        <v>0</v>
      </c>
      <c r="H30" s="10">
        <v>0</v>
      </c>
      <c r="I30" s="10">
        <v>0</v>
      </c>
      <c r="J30" s="10">
        <v>182505</v>
      </c>
      <c r="K30" s="10">
        <v>0</v>
      </c>
      <c r="L30" s="10">
        <v>12351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12977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22998</v>
      </c>
      <c r="AC30" s="10">
        <v>0</v>
      </c>
      <c r="AD30" s="10">
        <v>32273</v>
      </c>
      <c r="AE30" s="10">
        <v>14650</v>
      </c>
      <c r="AF30" s="10">
        <v>57434</v>
      </c>
      <c r="AG30" s="10">
        <v>49589</v>
      </c>
      <c r="AH30" s="10">
        <v>68415</v>
      </c>
      <c r="AI30" s="10">
        <v>19713</v>
      </c>
      <c r="AJ30" s="10">
        <v>0</v>
      </c>
      <c r="AK30" s="10">
        <v>18802</v>
      </c>
      <c r="AL30" s="10">
        <v>0</v>
      </c>
      <c r="AM30" s="10">
        <v>0</v>
      </c>
      <c r="AN30" s="10">
        <v>41483</v>
      </c>
      <c r="AO30" s="10">
        <v>40880</v>
      </c>
      <c r="AP30" s="10">
        <v>7884</v>
      </c>
      <c r="AQ30" s="10">
        <v>0</v>
      </c>
      <c r="AR30" s="10">
        <v>2183</v>
      </c>
      <c r="AS30" s="10">
        <v>0</v>
      </c>
      <c r="AT30" s="10">
        <v>0</v>
      </c>
      <c r="AU30" s="10">
        <v>0</v>
      </c>
      <c r="AV30" s="10">
        <v>0</v>
      </c>
      <c r="AW30" s="10">
        <v>36941</v>
      </c>
      <c r="AX30" s="10">
        <v>0</v>
      </c>
      <c r="AY30" s="10">
        <v>7674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14125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/>
      <c r="BQ30" s="10"/>
      <c r="BR30" s="10"/>
      <c r="BS30" s="230">
        <f t="shared" si="6"/>
        <v>1849492</v>
      </c>
      <c r="BT30" s="230">
        <f t="shared" si="3"/>
        <v>192323</v>
      </c>
      <c r="BU30" s="230">
        <f t="shared" si="8"/>
        <v>1421810</v>
      </c>
      <c r="BV30" s="230">
        <f t="shared" si="7"/>
        <v>144890</v>
      </c>
      <c r="BW30" s="230">
        <f t="shared" si="4"/>
        <v>1759023</v>
      </c>
      <c r="BX30" s="230">
        <f t="shared" si="9"/>
        <v>90469</v>
      </c>
      <c r="BY30" s="230"/>
      <c r="BZ30" s="230">
        <f t="shared" si="5"/>
        <v>1849492</v>
      </c>
      <c r="CA30" s="76"/>
      <c r="CB30" s="76"/>
    </row>
    <row r="31" spans="1:80" ht="12.75">
      <c r="A31" s="300" t="s">
        <v>204</v>
      </c>
      <c r="B31" s="10">
        <v>0</v>
      </c>
      <c r="C31" s="10">
        <v>0</v>
      </c>
      <c r="D31" s="10">
        <v>0</v>
      </c>
      <c r="E31" s="10">
        <v>0</v>
      </c>
      <c r="F31" s="10">
        <v>867786</v>
      </c>
      <c r="G31" s="10">
        <v>0</v>
      </c>
      <c r="H31" s="10">
        <v>0</v>
      </c>
      <c r="I31" s="10">
        <v>0</v>
      </c>
      <c r="J31" s="10">
        <v>146789</v>
      </c>
      <c r="K31" s="10">
        <v>0</v>
      </c>
      <c r="L31" s="10">
        <v>61476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19857</v>
      </c>
      <c r="AG31" s="10">
        <v>0</v>
      </c>
      <c r="AH31" s="10">
        <v>49190</v>
      </c>
      <c r="AI31" s="10">
        <v>389571</v>
      </c>
      <c r="AJ31" s="10">
        <v>916779</v>
      </c>
      <c r="AK31" s="10">
        <v>0</v>
      </c>
      <c r="AL31" s="10">
        <v>0</v>
      </c>
      <c r="AM31" s="10">
        <v>0</v>
      </c>
      <c r="AN31" s="10">
        <v>0</v>
      </c>
      <c r="AO31" s="10">
        <v>23783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31517</v>
      </c>
      <c r="BM31" s="10">
        <v>0</v>
      </c>
      <c r="BN31" s="10">
        <v>0</v>
      </c>
      <c r="BO31" s="10">
        <v>0</v>
      </c>
      <c r="BP31" s="10"/>
      <c r="BQ31" s="10"/>
      <c r="BR31" s="10"/>
      <c r="BS31" s="230">
        <f t="shared" si="6"/>
        <v>2506748</v>
      </c>
      <c r="BT31" s="230">
        <f t="shared" si="3"/>
        <v>51374</v>
      </c>
      <c r="BU31" s="230">
        <f t="shared" si="8"/>
        <v>2320925</v>
      </c>
      <c r="BV31" s="230">
        <f t="shared" si="7"/>
        <v>110666</v>
      </c>
      <c r="BW31" s="230">
        <f t="shared" si="4"/>
        <v>2482965</v>
      </c>
      <c r="BX31" s="230">
        <f t="shared" si="9"/>
        <v>23783</v>
      </c>
      <c r="BY31" s="230"/>
      <c r="BZ31" s="230">
        <f t="shared" si="5"/>
        <v>2506748</v>
      </c>
      <c r="CA31" s="7"/>
      <c r="CB31" s="7"/>
    </row>
    <row r="32" spans="1:80" ht="12.75">
      <c r="A32" s="300" t="s">
        <v>205</v>
      </c>
      <c r="B32" s="10">
        <v>8824800</v>
      </c>
      <c r="C32" s="10">
        <v>5120562</v>
      </c>
      <c r="D32" s="10">
        <v>4957491</v>
      </c>
      <c r="E32" s="10">
        <v>4213712</v>
      </c>
      <c r="F32" s="10">
        <v>4171343</v>
      </c>
      <c r="G32" s="10">
        <v>2600153</v>
      </c>
      <c r="H32" s="10">
        <v>1471493</v>
      </c>
      <c r="I32" s="10">
        <v>1842000</v>
      </c>
      <c r="J32" s="10">
        <v>1103784</v>
      </c>
      <c r="K32" s="10">
        <v>1121570</v>
      </c>
      <c r="L32" s="10">
        <v>3299005</v>
      </c>
      <c r="M32" s="10">
        <v>0</v>
      </c>
      <c r="N32" s="10">
        <v>953490.103</v>
      </c>
      <c r="O32" s="10">
        <v>939144</v>
      </c>
      <c r="P32" s="10">
        <v>983935</v>
      </c>
      <c r="Q32" s="10">
        <v>1002571</v>
      </c>
      <c r="R32" s="10">
        <v>455359</v>
      </c>
      <c r="S32" s="10">
        <v>745128</v>
      </c>
      <c r="T32" s="10">
        <v>0</v>
      </c>
      <c r="U32" s="10">
        <v>1551156</v>
      </c>
      <c r="V32" s="10">
        <v>891952</v>
      </c>
      <c r="W32" s="10">
        <v>0</v>
      </c>
      <c r="X32" s="10">
        <v>576454</v>
      </c>
      <c r="Y32" s="10">
        <v>93755</v>
      </c>
      <c r="Z32" s="10">
        <v>92553</v>
      </c>
      <c r="AA32" s="10">
        <v>132634</v>
      </c>
      <c r="AB32" s="10">
        <v>352338</v>
      </c>
      <c r="AC32" s="10">
        <v>413264</v>
      </c>
      <c r="AD32" s="10">
        <v>348289</v>
      </c>
      <c r="AE32" s="10">
        <v>129115</v>
      </c>
      <c r="AF32" s="10">
        <v>0</v>
      </c>
      <c r="AG32" s="10">
        <v>44416</v>
      </c>
      <c r="AH32" s="10">
        <v>258858</v>
      </c>
      <c r="AI32" s="10">
        <v>272782</v>
      </c>
      <c r="AJ32" s="10">
        <v>184354</v>
      </c>
      <c r="AK32" s="10">
        <v>176872</v>
      </c>
      <c r="AL32" s="10">
        <v>152501</v>
      </c>
      <c r="AM32" s="10">
        <v>154034</v>
      </c>
      <c r="AN32" s="10">
        <v>113211</v>
      </c>
      <c r="AO32" s="10">
        <v>0</v>
      </c>
      <c r="AP32" s="10">
        <v>96338</v>
      </c>
      <c r="AQ32" s="10">
        <v>50895</v>
      </c>
      <c r="AR32" s="10">
        <v>156277</v>
      </c>
      <c r="AS32" s="10">
        <v>1818</v>
      </c>
      <c r="AT32" s="10">
        <v>116186</v>
      </c>
      <c r="AU32" s="10">
        <v>0</v>
      </c>
      <c r="AV32" s="10">
        <v>0</v>
      </c>
      <c r="AW32" s="10">
        <v>140814</v>
      </c>
      <c r="AX32" s="10">
        <v>0</v>
      </c>
      <c r="AY32" s="10">
        <v>0</v>
      </c>
      <c r="AZ32" s="10">
        <v>0</v>
      </c>
      <c r="BA32" s="10">
        <v>66595</v>
      </c>
      <c r="BB32" s="10">
        <v>62958</v>
      </c>
      <c r="BC32" s="10">
        <v>34915</v>
      </c>
      <c r="BD32" s="10">
        <v>0</v>
      </c>
      <c r="BE32" s="10">
        <v>20196</v>
      </c>
      <c r="BF32" s="10">
        <v>0</v>
      </c>
      <c r="BG32" s="10">
        <v>0</v>
      </c>
      <c r="BH32" s="10">
        <v>30078</v>
      </c>
      <c r="BI32" s="10">
        <v>8620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/>
      <c r="BQ32" s="10"/>
      <c r="BR32" s="10"/>
      <c r="BS32" s="230">
        <f t="shared" si="6"/>
        <v>50529768.103</v>
      </c>
      <c r="BT32" s="230">
        <f t="shared" si="3"/>
        <v>9648400</v>
      </c>
      <c r="BU32" s="230">
        <f t="shared" si="8"/>
        <v>16662300</v>
      </c>
      <c r="BV32" s="230">
        <f t="shared" si="7"/>
        <v>23860416.103</v>
      </c>
      <c r="BW32" s="230">
        <f t="shared" si="4"/>
        <v>50171116.103</v>
      </c>
      <c r="BX32" s="230">
        <f t="shared" si="9"/>
        <v>358652</v>
      </c>
      <c r="BY32" s="230"/>
      <c r="BZ32" s="230">
        <f t="shared" si="5"/>
        <v>50529768.103</v>
      </c>
      <c r="CA32" s="7"/>
      <c r="CB32" s="7"/>
    </row>
    <row r="33" spans="1:80" ht="12.75">
      <c r="A33" s="300" t="s">
        <v>211</v>
      </c>
      <c r="B33" s="10">
        <v>7330861</v>
      </c>
      <c r="C33" s="10">
        <v>4874104</v>
      </c>
      <c r="D33" s="10">
        <v>4957491</v>
      </c>
      <c r="E33" s="10">
        <v>4213712</v>
      </c>
      <c r="F33" s="10">
        <v>2938315</v>
      </c>
      <c r="G33" s="10">
        <v>2577309</v>
      </c>
      <c r="H33" s="10">
        <v>1471493</v>
      </c>
      <c r="I33" s="10">
        <v>1610524</v>
      </c>
      <c r="J33" s="10">
        <v>1075059</v>
      </c>
      <c r="K33" s="10">
        <v>1121570</v>
      </c>
      <c r="L33" s="10">
        <v>894829</v>
      </c>
      <c r="M33" s="10">
        <v>0</v>
      </c>
      <c r="N33" s="10">
        <v>938726.416</v>
      </c>
      <c r="O33" s="10">
        <v>939144</v>
      </c>
      <c r="P33" s="10">
        <v>934583</v>
      </c>
      <c r="Q33" s="10">
        <v>990921</v>
      </c>
      <c r="R33" s="10">
        <v>455359</v>
      </c>
      <c r="S33" s="10">
        <v>732577</v>
      </c>
      <c r="T33" s="10">
        <v>0</v>
      </c>
      <c r="U33" s="10">
        <v>325726</v>
      </c>
      <c r="V33" s="10">
        <v>866937</v>
      </c>
      <c r="W33" s="10">
        <v>0</v>
      </c>
      <c r="X33" s="10">
        <v>576454</v>
      </c>
      <c r="Y33" s="10">
        <v>93479</v>
      </c>
      <c r="Z33" s="10">
        <v>89946</v>
      </c>
      <c r="AA33" s="10">
        <v>132634</v>
      </c>
      <c r="AB33" s="10">
        <v>352338</v>
      </c>
      <c r="AC33" s="10">
        <v>390721</v>
      </c>
      <c r="AD33" s="10">
        <v>344010</v>
      </c>
      <c r="AE33" s="10">
        <v>124645</v>
      </c>
      <c r="AF33" s="10">
        <v>0</v>
      </c>
      <c r="AG33" s="10">
        <v>0</v>
      </c>
      <c r="AH33" s="10">
        <v>244076</v>
      </c>
      <c r="AI33" s="10">
        <v>270545</v>
      </c>
      <c r="AJ33" s="10">
        <v>184354</v>
      </c>
      <c r="AK33" s="10">
        <v>176872</v>
      </c>
      <c r="AL33" s="10">
        <v>151347</v>
      </c>
      <c r="AM33" s="10">
        <v>151464</v>
      </c>
      <c r="AN33" s="10">
        <v>113211</v>
      </c>
      <c r="AO33" s="10">
        <v>0</v>
      </c>
      <c r="AP33" s="10">
        <v>96338</v>
      </c>
      <c r="AQ33" s="10">
        <v>50895</v>
      </c>
      <c r="AR33" s="10">
        <v>156277</v>
      </c>
      <c r="AS33" s="10">
        <v>0</v>
      </c>
      <c r="AT33" s="10">
        <v>116186</v>
      </c>
      <c r="AU33" s="10">
        <v>0</v>
      </c>
      <c r="AV33" s="10">
        <v>0</v>
      </c>
      <c r="AW33" s="10">
        <v>140814</v>
      </c>
      <c r="AX33" s="10">
        <v>0</v>
      </c>
      <c r="AY33" s="10">
        <v>0</v>
      </c>
      <c r="AZ33" s="10">
        <v>0</v>
      </c>
      <c r="BA33" s="10">
        <v>66372</v>
      </c>
      <c r="BB33" s="10">
        <v>62958</v>
      </c>
      <c r="BC33" s="10">
        <v>34767</v>
      </c>
      <c r="BD33" s="10">
        <v>0</v>
      </c>
      <c r="BE33" s="10">
        <v>20196</v>
      </c>
      <c r="BF33" s="10">
        <v>0</v>
      </c>
      <c r="BG33" s="10">
        <v>0</v>
      </c>
      <c r="BH33" s="10">
        <v>29501</v>
      </c>
      <c r="BI33" s="10">
        <v>8620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/>
      <c r="BQ33" s="10"/>
      <c r="BR33" s="10"/>
      <c r="BS33" s="230">
        <f t="shared" si="6"/>
        <v>43428260.416</v>
      </c>
      <c r="BT33" s="230">
        <f t="shared" si="3"/>
        <v>8097289</v>
      </c>
      <c r="BU33" s="230">
        <f t="shared" si="8"/>
        <v>15374109</v>
      </c>
      <c r="BV33" s="230">
        <f t="shared" si="7"/>
        <v>19647550.416</v>
      </c>
      <c r="BW33" s="230">
        <f t="shared" si="4"/>
        <v>43118948.416</v>
      </c>
      <c r="BX33" s="230">
        <f t="shared" si="9"/>
        <v>309312</v>
      </c>
      <c r="BY33" s="230"/>
      <c r="BZ33" s="230">
        <f t="shared" si="5"/>
        <v>43428260.416</v>
      </c>
      <c r="CA33" s="76"/>
      <c r="CB33" s="76"/>
    </row>
    <row r="34" spans="1:80" ht="12.75">
      <c r="A34" s="300" t="s">
        <v>212</v>
      </c>
      <c r="B34" s="10">
        <v>0</v>
      </c>
      <c r="C34" s="10">
        <v>0</v>
      </c>
      <c r="D34" s="10">
        <v>0</v>
      </c>
      <c r="E34" s="10">
        <v>0</v>
      </c>
      <c r="F34" s="10">
        <v>36760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11605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2099</v>
      </c>
      <c r="AP34" s="10">
        <v>0</v>
      </c>
      <c r="AQ34" s="10">
        <v>3093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/>
      <c r="BQ34" s="10"/>
      <c r="BR34" s="10"/>
      <c r="BS34" s="230">
        <f t="shared" si="6"/>
        <v>53557</v>
      </c>
      <c r="BT34" s="230">
        <f t="shared" si="3"/>
        <v>0</v>
      </c>
      <c r="BU34" s="230">
        <f t="shared" si="8"/>
        <v>36760</v>
      </c>
      <c r="BV34" s="230">
        <f t="shared" si="7"/>
        <v>11605</v>
      </c>
      <c r="BW34" s="230">
        <f t="shared" si="4"/>
        <v>48365</v>
      </c>
      <c r="BX34" s="230">
        <f t="shared" si="9"/>
        <v>5192</v>
      </c>
      <c r="BY34" s="230"/>
      <c r="BZ34" s="230">
        <f t="shared" si="5"/>
        <v>53557</v>
      </c>
      <c r="CA34" s="76"/>
      <c r="CB34" s="76"/>
    </row>
    <row r="35" spans="1:80" ht="12.75">
      <c r="A35" s="300" t="s">
        <v>209</v>
      </c>
      <c r="B35" s="10">
        <v>752546</v>
      </c>
      <c r="C35" s="10">
        <v>6395014</v>
      </c>
      <c r="D35" s="10">
        <v>303648</v>
      </c>
      <c r="E35" s="10">
        <v>0</v>
      </c>
      <c r="F35" s="10">
        <v>2271342</v>
      </c>
      <c r="G35" s="10">
        <v>109137</v>
      </c>
      <c r="H35" s="10">
        <v>472704</v>
      </c>
      <c r="I35" s="10">
        <v>1460947</v>
      </c>
      <c r="J35" s="10">
        <v>516295</v>
      </c>
      <c r="K35" s="10">
        <v>66351</v>
      </c>
      <c r="L35" s="10">
        <v>8184</v>
      </c>
      <c r="M35" s="10">
        <v>115164</v>
      </c>
      <c r="N35" s="10">
        <v>1394101.243</v>
      </c>
      <c r="O35" s="10">
        <v>91291</v>
      </c>
      <c r="P35" s="10">
        <v>0</v>
      </c>
      <c r="Q35" s="10">
        <v>0</v>
      </c>
      <c r="R35" s="10">
        <v>7158</v>
      </c>
      <c r="S35" s="10">
        <v>737</v>
      </c>
      <c r="T35" s="10">
        <v>0</v>
      </c>
      <c r="U35" s="10">
        <v>0</v>
      </c>
      <c r="V35" s="10">
        <v>8298</v>
      </c>
      <c r="W35" s="10">
        <v>0</v>
      </c>
      <c r="X35" s="10">
        <v>51928</v>
      </c>
      <c r="Y35" s="10">
        <v>15050</v>
      </c>
      <c r="Z35" s="10">
        <v>55159</v>
      </c>
      <c r="AA35" s="10">
        <v>194576</v>
      </c>
      <c r="AB35" s="10">
        <v>190371</v>
      </c>
      <c r="AC35" s="10">
        <v>697782</v>
      </c>
      <c r="AD35" s="10">
        <v>359088</v>
      </c>
      <c r="AE35" s="10">
        <v>603751</v>
      </c>
      <c r="AF35" s="10">
        <v>3432</v>
      </c>
      <c r="AG35" s="10">
        <v>0</v>
      </c>
      <c r="AH35" s="10">
        <v>26050</v>
      </c>
      <c r="AI35" s="10">
        <v>15918</v>
      </c>
      <c r="AJ35" s="10">
        <v>3868</v>
      </c>
      <c r="AK35" s="10">
        <v>0</v>
      </c>
      <c r="AL35" s="10">
        <v>0</v>
      </c>
      <c r="AM35" s="10">
        <v>0</v>
      </c>
      <c r="AN35" s="10">
        <v>0</v>
      </c>
      <c r="AO35" s="10">
        <v>8186</v>
      </c>
      <c r="AP35" s="10">
        <v>0</v>
      </c>
      <c r="AQ35" s="10">
        <v>13895</v>
      </c>
      <c r="AR35" s="10">
        <v>4335</v>
      </c>
      <c r="AS35" s="10">
        <v>0</v>
      </c>
      <c r="AT35" s="10">
        <v>0</v>
      </c>
      <c r="AU35" s="10">
        <v>0</v>
      </c>
      <c r="AV35" s="10">
        <v>123046</v>
      </c>
      <c r="AW35" s="10">
        <v>5439</v>
      </c>
      <c r="AX35" s="10">
        <v>10662</v>
      </c>
      <c r="AY35" s="10">
        <v>0</v>
      </c>
      <c r="AZ35" s="10">
        <v>0</v>
      </c>
      <c r="BA35" s="10">
        <v>0</v>
      </c>
      <c r="BB35" s="10">
        <v>0</v>
      </c>
      <c r="BC35" s="10">
        <v>6474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/>
      <c r="BQ35" s="10"/>
      <c r="BR35" s="10"/>
      <c r="BS35" s="230">
        <f t="shared" si="6"/>
        <v>16361927.243</v>
      </c>
      <c r="BT35" s="230">
        <f t="shared" si="3"/>
        <v>6970182</v>
      </c>
      <c r="BU35" s="230">
        <f t="shared" si="8"/>
        <v>3909246</v>
      </c>
      <c r="BV35" s="230">
        <f t="shared" si="7"/>
        <v>5390209.243</v>
      </c>
      <c r="BW35" s="230">
        <f t="shared" si="4"/>
        <v>16269637.243</v>
      </c>
      <c r="BX35" s="230">
        <f t="shared" si="9"/>
        <v>92290</v>
      </c>
      <c r="BY35" s="230"/>
      <c r="BZ35" s="230">
        <f t="shared" si="5"/>
        <v>16361927.243</v>
      </c>
      <c r="CA35" s="76"/>
      <c r="CB35" s="76"/>
    </row>
    <row r="36" spans="1:80" ht="12.75">
      <c r="A36" s="300" t="s">
        <v>567</v>
      </c>
      <c r="B36" s="10">
        <v>7045650</v>
      </c>
      <c r="C36" s="10">
        <v>9891813</v>
      </c>
      <c r="D36" s="10">
        <v>1530054</v>
      </c>
      <c r="E36" s="10">
        <v>1673519</v>
      </c>
      <c r="F36" s="10">
        <v>2950469</v>
      </c>
      <c r="G36" s="10">
        <v>226706</v>
      </c>
      <c r="H36" s="10">
        <v>237747</v>
      </c>
      <c r="I36" s="10">
        <v>1465963</v>
      </c>
      <c r="J36" s="10">
        <v>846547</v>
      </c>
      <c r="K36" s="10">
        <v>1094811</v>
      </c>
      <c r="L36" s="10">
        <v>141728</v>
      </c>
      <c r="M36" s="10">
        <v>221893</v>
      </c>
      <c r="N36" s="10">
        <v>537507.37</v>
      </c>
      <c r="O36" s="10">
        <v>425932</v>
      </c>
      <c r="P36" s="10">
        <v>1376048</v>
      </c>
      <c r="Q36" s="10">
        <v>11620</v>
      </c>
      <c r="R36" s="10">
        <v>2119870</v>
      </c>
      <c r="S36" s="10">
        <v>107585</v>
      </c>
      <c r="T36" s="10">
        <v>806301.714</v>
      </c>
      <c r="U36" s="10">
        <v>463159</v>
      </c>
      <c r="V36" s="10">
        <v>909134</v>
      </c>
      <c r="W36" s="10">
        <v>35400</v>
      </c>
      <c r="X36" s="10">
        <v>71750</v>
      </c>
      <c r="Y36" s="10">
        <v>0</v>
      </c>
      <c r="Z36" s="10">
        <v>307121</v>
      </c>
      <c r="AA36" s="10">
        <v>1335067</v>
      </c>
      <c r="AB36" s="10">
        <v>262722</v>
      </c>
      <c r="AC36" s="10">
        <v>223061</v>
      </c>
      <c r="AD36" s="10">
        <v>199383</v>
      </c>
      <c r="AE36" s="10">
        <v>182031</v>
      </c>
      <c r="AF36" s="10">
        <v>0</v>
      </c>
      <c r="AG36" s="10">
        <v>0</v>
      </c>
      <c r="AH36" s="10">
        <v>135711</v>
      </c>
      <c r="AI36" s="10">
        <v>28117</v>
      </c>
      <c r="AJ36" s="10">
        <v>20871</v>
      </c>
      <c r="AK36" s="10">
        <v>53446</v>
      </c>
      <c r="AL36" s="10">
        <v>83402</v>
      </c>
      <c r="AM36" s="10">
        <v>103600</v>
      </c>
      <c r="AN36" s="10">
        <v>26300</v>
      </c>
      <c r="AO36" s="10">
        <v>27633</v>
      </c>
      <c r="AP36" s="10">
        <v>146582</v>
      </c>
      <c r="AQ36" s="10">
        <v>42415</v>
      </c>
      <c r="AR36" s="10">
        <v>136845</v>
      </c>
      <c r="AS36" s="10">
        <v>44523</v>
      </c>
      <c r="AT36" s="10">
        <v>12537</v>
      </c>
      <c r="AU36" s="10">
        <v>53617</v>
      </c>
      <c r="AV36" s="10">
        <v>34687</v>
      </c>
      <c r="AW36" s="10">
        <v>99431</v>
      </c>
      <c r="AX36" s="10">
        <v>11774</v>
      </c>
      <c r="AY36" s="10">
        <v>28767</v>
      </c>
      <c r="AZ36" s="10">
        <v>24588</v>
      </c>
      <c r="BA36" s="10">
        <v>3896</v>
      </c>
      <c r="BB36" s="10">
        <v>85515</v>
      </c>
      <c r="BC36" s="10">
        <v>12281</v>
      </c>
      <c r="BD36" s="10">
        <v>11208</v>
      </c>
      <c r="BE36" s="10">
        <v>97129</v>
      </c>
      <c r="BF36" s="10">
        <v>58177</v>
      </c>
      <c r="BG36" s="10">
        <v>0</v>
      </c>
      <c r="BH36" s="10">
        <v>7094</v>
      </c>
      <c r="BI36" s="10">
        <v>0</v>
      </c>
      <c r="BJ36" s="10">
        <v>79635</v>
      </c>
      <c r="BK36" s="10">
        <v>14798</v>
      </c>
      <c r="BL36" s="10">
        <v>0</v>
      </c>
      <c r="BM36" s="10">
        <v>0</v>
      </c>
      <c r="BN36" s="10">
        <v>10578</v>
      </c>
      <c r="BO36" s="10">
        <v>0</v>
      </c>
      <c r="BP36" s="10"/>
      <c r="BQ36" s="10"/>
      <c r="BR36" s="10"/>
      <c r="BS36" s="230">
        <f t="shared" si="6"/>
        <v>38195749.08400001</v>
      </c>
      <c r="BT36" s="230">
        <f t="shared" si="3"/>
        <v>14810084</v>
      </c>
      <c r="BU36" s="230">
        <f t="shared" si="8"/>
        <v>7559933</v>
      </c>
      <c r="BV36" s="230">
        <f t="shared" si="7"/>
        <v>15285109.083999999</v>
      </c>
      <c r="BW36" s="230">
        <f t="shared" si="4"/>
        <v>37655126.084</v>
      </c>
      <c r="BX36" s="230">
        <f t="shared" si="9"/>
        <v>540623</v>
      </c>
      <c r="BY36" s="230"/>
      <c r="BZ36" s="230">
        <f t="shared" si="5"/>
        <v>38195749.084</v>
      </c>
      <c r="CA36" s="7"/>
      <c r="CB36" s="7"/>
    </row>
    <row r="37" spans="1:80" s="291" customFormat="1" ht="12.75" customHeight="1">
      <c r="A37" s="298" t="s">
        <v>619</v>
      </c>
      <c r="B37" s="226">
        <f aca="true" t="shared" si="13" ref="B37:AC37">SUM(B29:B32)+SUM(B34:B36)</f>
        <v>16622996</v>
      </c>
      <c r="C37" s="226">
        <f t="shared" si="13"/>
        <v>23546275</v>
      </c>
      <c r="D37" s="226">
        <f t="shared" si="13"/>
        <v>6791193</v>
      </c>
      <c r="E37" s="226">
        <f t="shared" si="13"/>
        <v>5901809</v>
      </c>
      <c r="F37" s="226">
        <f t="shared" si="13"/>
        <v>11895980</v>
      </c>
      <c r="G37" s="226">
        <f t="shared" si="13"/>
        <v>2935996</v>
      </c>
      <c r="H37" s="226">
        <f t="shared" si="13"/>
        <v>2195194</v>
      </c>
      <c r="I37" s="226">
        <f t="shared" si="13"/>
        <v>4768910</v>
      </c>
      <c r="J37" s="226">
        <f t="shared" si="13"/>
        <v>2913902</v>
      </c>
      <c r="K37" s="226">
        <f>SUM(K29:K32)+SUM(K34:K36)</f>
        <v>2282732</v>
      </c>
      <c r="L37" s="226">
        <f t="shared" si="13"/>
        <v>3522744</v>
      </c>
      <c r="M37" s="226">
        <f t="shared" si="13"/>
        <v>337057</v>
      </c>
      <c r="N37" s="226">
        <f aca="true" t="shared" si="14" ref="N37:U37">SUM(N29:N32)+SUM(N34:N36)</f>
        <v>2885098.716</v>
      </c>
      <c r="O37" s="226">
        <f t="shared" si="14"/>
        <v>1456367</v>
      </c>
      <c r="P37" s="226">
        <f t="shared" si="14"/>
        <v>2359983</v>
      </c>
      <c r="Q37" s="226">
        <f t="shared" si="14"/>
        <v>1089620</v>
      </c>
      <c r="R37" s="226">
        <f t="shared" si="14"/>
        <v>2582387</v>
      </c>
      <c r="S37" s="226">
        <f t="shared" si="14"/>
        <v>866427</v>
      </c>
      <c r="T37" s="226">
        <f t="shared" si="14"/>
        <v>806301.714</v>
      </c>
      <c r="U37" s="226">
        <f t="shared" si="14"/>
        <v>2016934</v>
      </c>
      <c r="V37" s="226">
        <f t="shared" si="13"/>
        <v>1811663</v>
      </c>
      <c r="W37" s="226">
        <f t="shared" si="13"/>
        <v>35400</v>
      </c>
      <c r="X37" s="226">
        <f t="shared" si="13"/>
        <v>700132</v>
      </c>
      <c r="Y37" s="226">
        <f>SUM(Y29:Y32)+SUM(Y34:Y36)</f>
        <v>108805</v>
      </c>
      <c r="Z37" s="226">
        <f t="shared" si="13"/>
        <v>454833</v>
      </c>
      <c r="AA37" s="226">
        <f>SUM(AA29:AA32)+SUM(AA34:AA36)</f>
        <v>1662277</v>
      </c>
      <c r="AB37" s="226">
        <f>SUM(AB29:AB32)+SUM(AB34:AB36)</f>
        <v>871152</v>
      </c>
      <c r="AC37" s="226">
        <f t="shared" si="13"/>
        <v>1334107</v>
      </c>
      <c r="AD37" s="226">
        <f aca="true" t="shared" si="15" ref="AD37:BO37">SUM(AD29:AD32)+SUM(AD34:AD36)</f>
        <v>939033</v>
      </c>
      <c r="AE37" s="226">
        <f t="shared" si="15"/>
        <v>929547</v>
      </c>
      <c r="AF37" s="226">
        <f t="shared" si="15"/>
        <v>390180</v>
      </c>
      <c r="AG37" s="226">
        <f t="shared" si="15"/>
        <v>126983</v>
      </c>
      <c r="AH37" s="226">
        <f t="shared" si="15"/>
        <v>551318</v>
      </c>
      <c r="AI37" s="226">
        <f t="shared" si="15"/>
        <v>726101</v>
      </c>
      <c r="AJ37" s="226">
        <f t="shared" si="15"/>
        <v>1125872</v>
      </c>
      <c r="AK37" s="226">
        <f t="shared" si="15"/>
        <v>285529</v>
      </c>
      <c r="AL37" s="226">
        <f t="shared" si="15"/>
        <v>235903</v>
      </c>
      <c r="AM37" s="226">
        <f t="shared" si="15"/>
        <v>257634</v>
      </c>
      <c r="AN37" s="226">
        <f t="shared" si="15"/>
        <v>180994</v>
      </c>
      <c r="AO37" s="226">
        <f t="shared" si="15"/>
        <v>106447</v>
      </c>
      <c r="AP37" s="226">
        <f t="shared" si="15"/>
        <v>250804</v>
      </c>
      <c r="AQ37" s="226">
        <f t="shared" si="15"/>
        <v>110298</v>
      </c>
      <c r="AR37" s="226">
        <f t="shared" si="15"/>
        <v>299640</v>
      </c>
      <c r="AS37" s="226">
        <f t="shared" si="15"/>
        <v>51455</v>
      </c>
      <c r="AT37" s="226">
        <f t="shared" si="15"/>
        <v>128723</v>
      </c>
      <c r="AU37" s="226">
        <f>SUM(AU29:AU32)+SUM(AU34:AU36)</f>
        <v>53617</v>
      </c>
      <c r="AV37" s="226">
        <f t="shared" si="15"/>
        <v>157733</v>
      </c>
      <c r="AW37" s="226">
        <f t="shared" si="15"/>
        <v>283383</v>
      </c>
      <c r="AX37" s="226">
        <f t="shared" si="15"/>
        <v>22436</v>
      </c>
      <c r="AY37" s="226">
        <f t="shared" si="15"/>
        <v>36441</v>
      </c>
      <c r="AZ37" s="226">
        <f t="shared" si="15"/>
        <v>24588</v>
      </c>
      <c r="BA37" s="226">
        <f t="shared" si="15"/>
        <v>70491</v>
      </c>
      <c r="BB37" s="226">
        <f t="shared" si="15"/>
        <v>148473</v>
      </c>
      <c r="BC37" s="226">
        <f t="shared" si="15"/>
        <v>53670</v>
      </c>
      <c r="BD37" s="226">
        <f t="shared" si="15"/>
        <v>11208</v>
      </c>
      <c r="BE37" s="226">
        <f t="shared" si="15"/>
        <v>117325</v>
      </c>
      <c r="BF37" s="226">
        <f>SUM(BF29:BF32)+SUM(BF34:BF36)</f>
        <v>58177</v>
      </c>
      <c r="BG37" s="226">
        <f t="shared" si="15"/>
        <v>0</v>
      </c>
      <c r="BH37" s="226">
        <f t="shared" si="15"/>
        <v>68695</v>
      </c>
      <c r="BI37" s="226">
        <f t="shared" si="15"/>
        <v>8620</v>
      </c>
      <c r="BJ37" s="226">
        <f t="shared" si="15"/>
        <v>79635</v>
      </c>
      <c r="BK37" s="226">
        <f t="shared" si="15"/>
        <v>14798</v>
      </c>
      <c r="BL37" s="226">
        <f t="shared" si="15"/>
        <v>31517</v>
      </c>
      <c r="BM37" s="226">
        <f t="shared" si="15"/>
        <v>0</v>
      </c>
      <c r="BN37" s="226">
        <f t="shared" si="15"/>
        <v>10578</v>
      </c>
      <c r="BO37" s="226">
        <f t="shared" si="15"/>
        <v>0</v>
      </c>
      <c r="BP37" s="226"/>
      <c r="BQ37" s="226"/>
      <c r="BR37" s="226"/>
      <c r="BS37" s="230">
        <f t="shared" si="6"/>
        <v>112704121.43</v>
      </c>
      <c r="BT37" s="230">
        <f t="shared" si="3"/>
        <v>34143760</v>
      </c>
      <c r="BU37" s="230">
        <f t="shared" si="8"/>
        <v>32509300</v>
      </c>
      <c r="BV37" s="230">
        <f t="shared" si="7"/>
        <v>44898094.43</v>
      </c>
      <c r="BW37" s="230">
        <f t="shared" si="4"/>
        <v>111551154.43</v>
      </c>
      <c r="BX37" s="230">
        <f t="shared" si="9"/>
        <v>1152967</v>
      </c>
      <c r="BY37" s="230"/>
      <c r="BZ37" s="230">
        <f t="shared" si="5"/>
        <v>112704121.43</v>
      </c>
      <c r="CA37" s="13"/>
      <c r="CB37" s="13"/>
    </row>
    <row r="38" spans="1:80" ht="7.5" customHeight="1">
      <c r="A38" s="30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230"/>
      <c r="BT38" s="230"/>
      <c r="BU38" s="230"/>
      <c r="BV38" s="230"/>
      <c r="BW38" s="230"/>
      <c r="BX38" s="230"/>
      <c r="BY38" s="230"/>
      <c r="BZ38" s="230"/>
      <c r="CA38" s="7"/>
      <c r="CB38" s="7"/>
    </row>
    <row r="39" spans="1:80" ht="12.75">
      <c r="A39" s="302" t="s">
        <v>568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197117</v>
      </c>
      <c r="J39" s="10">
        <v>55399</v>
      </c>
      <c r="K39" s="10">
        <v>0</v>
      </c>
      <c r="L39" s="10">
        <v>10260</v>
      </c>
      <c r="M39" s="10">
        <v>0</v>
      </c>
      <c r="N39" s="10">
        <v>0</v>
      </c>
      <c r="O39" s="10">
        <v>0</v>
      </c>
      <c r="P39" s="10">
        <v>0</v>
      </c>
      <c r="Q39" s="10">
        <v>120939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16186</v>
      </c>
      <c r="AS39" s="10">
        <v>0</v>
      </c>
      <c r="AT39" s="10">
        <v>0</v>
      </c>
      <c r="AU39" s="10">
        <v>0</v>
      </c>
      <c r="AV39" s="10">
        <v>34948</v>
      </c>
      <c r="AW39" s="10">
        <v>13513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/>
      <c r="BQ39" s="10"/>
      <c r="BR39" s="10"/>
      <c r="BS39" s="230">
        <f t="shared" si="6"/>
        <v>448362</v>
      </c>
      <c r="BT39" s="230">
        <f t="shared" si="3"/>
        <v>29699</v>
      </c>
      <c r="BU39" s="230">
        <f t="shared" si="8"/>
        <v>176338</v>
      </c>
      <c r="BV39" s="230">
        <f t="shared" si="7"/>
        <v>242325</v>
      </c>
      <c r="BW39" s="230">
        <f t="shared" si="4"/>
        <v>448362</v>
      </c>
      <c r="BX39" s="230">
        <f t="shared" si="9"/>
        <v>0</v>
      </c>
      <c r="BY39" s="230"/>
      <c r="BZ39" s="230">
        <f t="shared" si="5"/>
        <v>448362</v>
      </c>
      <c r="CA39" s="76"/>
      <c r="CB39" s="76"/>
    </row>
    <row r="40" spans="1:80" ht="12.75">
      <c r="A40" s="29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230"/>
      <c r="BT40" s="230"/>
      <c r="BU40" s="230"/>
      <c r="BV40" s="230"/>
      <c r="BW40" s="230"/>
      <c r="BX40" s="230"/>
      <c r="BY40" s="230"/>
      <c r="BZ40" s="230"/>
      <c r="CA40" s="76"/>
      <c r="CB40" s="76"/>
    </row>
    <row r="41" spans="1:80" ht="12.75" customHeight="1">
      <c r="A41" s="303" t="s">
        <v>570</v>
      </c>
      <c r="B41" s="10">
        <v>3928655</v>
      </c>
      <c r="C41" s="10">
        <v>0</v>
      </c>
      <c r="D41" s="10">
        <v>1820694</v>
      </c>
      <c r="E41" s="10">
        <v>379824</v>
      </c>
      <c r="F41" s="10">
        <v>0</v>
      </c>
      <c r="G41" s="10">
        <v>33028</v>
      </c>
      <c r="H41" s="10">
        <v>0</v>
      </c>
      <c r="I41" s="10">
        <v>61280</v>
      </c>
      <c r="J41" s="10">
        <v>64966</v>
      </c>
      <c r="K41" s="10">
        <v>96468</v>
      </c>
      <c r="L41" s="10">
        <v>1250712</v>
      </c>
      <c r="M41" s="10">
        <v>169130</v>
      </c>
      <c r="N41" s="10">
        <v>49194.436</v>
      </c>
      <c r="O41" s="10">
        <v>624838</v>
      </c>
      <c r="P41" s="10">
        <v>0</v>
      </c>
      <c r="Q41" s="10">
        <v>381363</v>
      </c>
      <c r="R41" s="10">
        <v>75133</v>
      </c>
      <c r="S41" s="10">
        <v>0</v>
      </c>
      <c r="T41" s="10">
        <v>179171.014</v>
      </c>
      <c r="U41" s="10">
        <v>51901</v>
      </c>
      <c r="V41" s="10">
        <v>0</v>
      </c>
      <c r="W41" s="10">
        <v>373692</v>
      </c>
      <c r="X41" s="10">
        <v>205695</v>
      </c>
      <c r="Y41" s="10">
        <v>2205854</v>
      </c>
      <c r="Z41" s="10">
        <v>330749</v>
      </c>
      <c r="AA41" s="10">
        <v>0</v>
      </c>
      <c r="AB41" s="10">
        <v>56090</v>
      </c>
      <c r="AC41" s="10">
        <v>0</v>
      </c>
      <c r="AD41" s="10">
        <v>0</v>
      </c>
      <c r="AE41" s="10">
        <v>77892</v>
      </c>
      <c r="AF41" s="10">
        <v>139387</v>
      </c>
      <c r="AG41" s="10">
        <v>85000</v>
      </c>
      <c r="AH41" s="10">
        <v>52667</v>
      </c>
      <c r="AI41" s="10">
        <v>9315</v>
      </c>
      <c r="AJ41" s="10">
        <v>0</v>
      </c>
      <c r="AK41" s="10">
        <f>21501+6233</f>
        <v>27734</v>
      </c>
      <c r="AL41" s="10">
        <v>53636</v>
      </c>
      <c r="AM41" s="10">
        <v>44980</v>
      </c>
      <c r="AN41" s="10">
        <v>52724</v>
      </c>
      <c r="AO41" s="10">
        <v>332447</v>
      </c>
      <c r="AP41" s="10">
        <v>0</v>
      </c>
      <c r="AQ41" s="10">
        <v>61254</v>
      </c>
      <c r="AR41" s="10">
        <v>0</v>
      </c>
      <c r="AS41" s="10">
        <v>42854</v>
      </c>
      <c r="AT41" s="10">
        <v>11816</v>
      </c>
      <c r="AU41" s="10">
        <v>0</v>
      </c>
      <c r="AV41" s="10">
        <v>4559</v>
      </c>
      <c r="AW41" s="10">
        <v>0</v>
      </c>
      <c r="AX41" s="10">
        <v>0</v>
      </c>
      <c r="AY41" s="10">
        <v>0</v>
      </c>
      <c r="AZ41" s="10">
        <v>0</v>
      </c>
      <c r="BA41" s="10">
        <v>10116</v>
      </c>
      <c r="BB41" s="10">
        <v>0</v>
      </c>
      <c r="BC41" s="10">
        <v>31324</v>
      </c>
      <c r="BD41" s="10">
        <v>0</v>
      </c>
      <c r="BE41" s="10">
        <v>0</v>
      </c>
      <c r="BF41" s="10">
        <v>1942</v>
      </c>
      <c r="BG41" s="10">
        <v>0</v>
      </c>
      <c r="BH41" s="10">
        <v>0</v>
      </c>
      <c r="BI41" s="10">
        <f>6636+1065</f>
        <v>7701</v>
      </c>
      <c r="BJ41" s="10">
        <v>0</v>
      </c>
      <c r="BK41" s="10">
        <v>0</v>
      </c>
      <c r="BL41" s="10">
        <v>0</v>
      </c>
      <c r="BM41" s="10">
        <v>0</v>
      </c>
      <c r="BN41" s="10">
        <v>0</v>
      </c>
      <c r="BO41" s="10">
        <v>0</v>
      </c>
      <c r="BP41" s="10"/>
      <c r="BQ41" s="10"/>
      <c r="BR41" s="10"/>
      <c r="BS41" s="230">
        <f t="shared" si="6"/>
        <v>13385785.450000001</v>
      </c>
      <c r="BT41" s="230">
        <f t="shared" si="3"/>
        <v>244012</v>
      </c>
      <c r="BU41" s="230">
        <f t="shared" si="8"/>
        <v>3384285</v>
      </c>
      <c r="BV41" s="230">
        <f t="shared" si="7"/>
        <v>6307821.45</v>
      </c>
      <c r="BW41" s="230">
        <f t="shared" si="4"/>
        <v>9936118.45</v>
      </c>
      <c r="BX41" s="230">
        <f t="shared" si="9"/>
        <v>3449667</v>
      </c>
      <c r="BY41" s="230"/>
      <c r="BZ41" s="230">
        <f t="shared" si="5"/>
        <v>13385785.45</v>
      </c>
      <c r="CA41" s="76"/>
      <c r="CB41" s="76"/>
    </row>
    <row r="42" spans="1:80" ht="12.75">
      <c r="A42" s="300" t="s">
        <v>572</v>
      </c>
      <c r="B42" s="10">
        <v>3928655</v>
      </c>
      <c r="C42" s="10">
        <v>0</v>
      </c>
      <c r="D42" s="10">
        <v>1781682</v>
      </c>
      <c r="E42" s="10">
        <v>379824</v>
      </c>
      <c r="F42" s="10">
        <v>0</v>
      </c>
      <c r="G42" s="10">
        <v>33028</v>
      </c>
      <c r="H42" s="10">
        <v>0</v>
      </c>
      <c r="I42" s="10">
        <v>61280</v>
      </c>
      <c r="J42" s="10">
        <v>64966</v>
      </c>
      <c r="K42" s="10">
        <v>96468</v>
      </c>
      <c r="L42" s="10">
        <v>733449</v>
      </c>
      <c r="M42" s="10">
        <v>141800</v>
      </c>
      <c r="N42" s="10">
        <v>49194.436</v>
      </c>
      <c r="O42" s="10">
        <v>0</v>
      </c>
      <c r="P42" s="10">
        <v>0</v>
      </c>
      <c r="Q42" s="10">
        <v>381363</v>
      </c>
      <c r="R42" s="10">
        <v>75133</v>
      </c>
      <c r="S42" s="10">
        <v>0</v>
      </c>
      <c r="T42" s="10">
        <v>179171.014</v>
      </c>
      <c r="U42" s="10">
        <v>0</v>
      </c>
      <c r="V42" s="10">
        <v>0</v>
      </c>
      <c r="W42" s="10">
        <v>373692</v>
      </c>
      <c r="X42" s="10">
        <v>205695</v>
      </c>
      <c r="Y42" s="10">
        <v>241453</v>
      </c>
      <c r="Z42" s="10">
        <v>326716</v>
      </c>
      <c r="AA42" s="10">
        <v>0</v>
      </c>
      <c r="AB42" s="10">
        <v>56090</v>
      </c>
      <c r="AC42" s="10">
        <v>0</v>
      </c>
      <c r="AD42" s="10">
        <v>0</v>
      </c>
      <c r="AE42" s="10">
        <v>42472</v>
      </c>
      <c r="AF42" s="10">
        <v>87522</v>
      </c>
      <c r="AG42" s="10">
        <v>0</v>
      </c>
      <c r="AH42" s="10">
        <v>48667</v>
      </c>
      <c r="AI42" s="10">
        <v>6000</v>
      </c>
      <c r="AJ42" s="10">
        <v>0</v>
      </c>
      <c r="AK42" s="10">
        <v>6233</v>
      </c>
      <c r="AL42" s="10">
        <v>27212</v>
      </c>
      <c r="AM42" s="10">
        <v>44980</v>
      </c>
      <c r="AN42" s="10">
        <v>52724</v>
      </c>
      <c r="AO42" s="10">
        <v>72542</v>
      </c>
      <c r="AP42" s="10">
        <v>0</v>
      </c>
      <c r="AQ42" s="10">
        <v>50014</v>
      </c>
      <c r="AR42" s="10">
        <v>0</v>
      </c>
      <c r="AS42" s="10">
        <v>29986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4975</v>
      </c>
      <c r="BB42" s="10">
        <v>0</v>
      </c>
      <c r="BC42" s="10">
        <v>19403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1065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/>
      <c r="BQ42" s="10"/>
      <c r="BR42" s="10"/>
      <c r="BS42" s="230">
        <f t="shared" si="6"/>
        <v>9603454.45</v>
      </c>
      <c r="BT42" s="230">
        <f t="shared" si="3"/>
        <v>140246</v>
      </c>
      <c r="BU42" s="230">
        <f t="shared" si="8"/>
        <v>2677974</v>
      </c>
      <c r="BV42" s="230">
        <f t="shared" si="7"/>
        <v>5684791.45</v>
      </c>
      <c r="BW42" s="230">
        <f t="shared" si="4"/>
        <v>8503011.45</v>
      </c>
      <c r="BX42" s="230">
        <f t="shared" si="9"/>
        <v>1100443</v>
      </c>
      <c r="BY42" s="230"/>
      <c r="BZ42" s="230">
        <f t="shared" si="5"/>
        <v>9603454.45</v>
      </c>
      <c r="CA42" s="7"/>
      <c r="CB42" s="7"/>
    </row>
    <row r="43" spans="1:80" ht="12.75">
      <c r="A43" s="30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230"/>
      <c r="BT43" s="230"/>
      <c r="BU43" s="230"/>
      <c r="BV43" s="230"/>
      <c r="BW43" s="230"/>
      <c r="BX43" s="230"/>
      <c r="BY43" s="230"/>
      <c r="BZ43" s="230"/>
      <c r="CA43" s="7"/>
      <c r="CB43" s="7"/>
    </row>
    <row r="44" spans="1:80" ht="12.75">
      <c r="A44" s="304" t="s">
        <v>571</v>
      </c>
      <c r="B44" s="10">
        <v>0</v>
      </c>
      <c r="C44" s="10">
        <v>288814</v>
      </c>
      <c r="D44" s="10">
        <v>0</v>
      </c>
      <c r="E44" s="10">
        <v>902506</v>
      </c>
      <c r="F44" s="10">
        <v>2012582</v>
      </c>
      <c r="G44" s="10">
        <v>338439</v>
      </c>
      <c r="H44" s="10">
        <v>548186</v>
      </c>
      <c r="I44" s="10">
        <v>204184</v>
      </c>
      <c r="J44" s="10">
        <v>677331</v>
      </c>
      <c r="K44" s="10">
        <v>298290</v>
      </c>
      <c r="L44" s="10">
        <v>32346</v>
      </c>
      <c r="M44" s="10">
        <v>496620</v>
      </c>
      <c r="N44" s="10">
        <v>901659.471</v>
      </c>
      <c r="O44" s="10">
        <v>309597</v>
      </c>
      <c r="P44" s="10">
        <v>0</v>
      </c>
      <c r="Q44" s="10">
        <v>0</v>
      </c>
      <c r="R44" s="10">
        <v>0</v>
      </c>
      <c r="S44" s="10">
        <v>19593</v>
      </c>
      <c r="T44" s="10">
        <v>0</v>
      </c>
      <c r="U44" s="10">
        <v>21765</v>
      </c>
      <c r="V44" s="10">
        <v>104213</v>
      </c>
      <c r="W44" s="10">
        <v>0</v>
      </c>
      <c r="X44" s="10">
        <v>0</v>
      </c>
      <c r="Y44" s="10">
        <v>275900</v>
      </c>
      <c r="Z44" s="10">
        <v>16993</v>
      </c>
      <c r="AA44" s="10">
        <v>0</v>
      </c>
      <c r="AB44" s="10">
        <v>0</v>
      </c>
      <c r="AC44" s="10">
        <v>0</v>
      </c>
      <c r="AD44" s="10">
        <v>0</v>
      </c>
      <c r="AE44" s="10">
        <v>298643</v>
      </c>
      <c r="AF44" s="10">
        <v>7570</v>
      </c>
      <c r="AG44" s="10">
        <v>0</v>
      </c>
      <c r="AH44" s="10">
        <v>0</v>
      </c>
      <c r="AI44" s="10">
        <v>61181</v>
      </c>
      <c r="AJ44" s="10">
        <v>428</v>
      </c>
      <c r="AK44" s="10">
        <v>70911</v>
      </c>
      <c r="AL44" s="10">
        <v>5190</v>
      </c>
      <c r="AM44" s="10">
        <v>32722</v>
      </c>
      <c r="AN44" s="10">
        <v>53779</v>
      </c>
      <c r="AO44" s="10">
        <v>0</v>
      </c>
      <c r="AP44" s="10">
        <v>0</v>
      </c>
      <c r="AQ44" s="10">
        <v>12736</v>
      </c>
      <c r="AR44" s="10">
        <v>0</v>
      </c>
      <c r="AS44" s="10">
        <v>41770</v>
      </c>
      <c r="AT44" s="10">
        <v>2979</v>
      </c>
      <c r="AU44" s="10">
        <v>0</v>
      </c>
      <c r="AV44" s="10">
        <v>0</v>
      </c>
      <c r="AW44" s="10">
        <v>0</v>
      </c>
      <c r="AX44" s="10">
        <v>0</v>
      </c>
      <c r="AY44" s="10">
        <v>19143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f>1085+4097</f>
        <v>5182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/>
      <c r="BQ44" s="10"/>
      <c r="BR44" s="10"/>
      <c r="BS44" s="230">
        <f t="shared" si="6"/>
        <v>8061252.471</v>
      </c>
      <c r="BT44" s="230">
        <f t="shared" si="3"/>
        <v>476141</v>
      </c>
      <c r="BU44" s="230">
        <f t="shared" si="8"/>
        <v>4426787</v>
      </c>
      <c r="BV44" s="230">
        <f t="shared" si="7"/>
        <v>2805743.471</v>
      </c>
      <c r="BW44" s="230">
        <f t="shared" si="4"/>
        <v>7708671.471</v>
      </c>
      <c r="BX44" s="230">
        <f t="shared" si="9"/>
        <v>352581</v>
      </c>
      <c r="BY44" s="230"/>
      <c r="BZ44" s="230">
        <f t="shared" si="5"/>
        <v>8061252.471</v>
      </c>
      <c r="CA44" s="76"/>
      <c r="CB44" s="76"/>
    </row>
    <row r="45" spans="1:80" ht="12.75" customHeight="1">
      <c r="A45" s="300" t="s">
        <v>573</v>
      </c>
      <c r="B45" s="10">
        <v>0</v>
      </c>
      <c r="C45" s="10">
        <v>288814</v>
      </c>
      <c r="D45" s="10">
        <v>0</v>
      </c>
      <c r="E45" s="10">
        <v>902506</v>
      </c>
      <c r="F45" s="10">
        <v>2012032</v>
      </c>
      <c r="G45" s="10">
        <v>338439</v>
      </c>
      <c r="H45" s="10">
        <v>548186</v>
      </c>
      <c r="I45" s="10">
        <v>142085</v>
      </c>
      <c r="J45" s="10">
        <v>677331</v>
      </c>
      <c r="K45" s="10">
        <v>298290</v>
      </c>
      <c r="L45" s="10">
        <v>0</v>
      </c>
      <c r="M45" s="10">
        <v>496620</v>
      </c>
      <c r="N45" s="10">
        <v>860162.236</v>
      </c>
      <c r="O45" s="10">
        <v>255502</v>
      </c>
      <c r="P45" s="10">
        <v>0</v>
      </c>
      <c r="Q45" s="10">
        <v>0</v>
      </c>
      <c r="R45" s="10">
        <v>0</v>
      </c>
      <c r="S45" s="10">
        <v>19593</v>
      </c>
      <c r="T45" s="10">
        <v>0</v>
      </c>
      <c r="U45" s="10">
        <v>0</v>
      </c>
      <c r="V45" s="10">
        <v>104213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272708</v>
      </c>
      <c r="AF45" s="10">
        <v>7570</v>
      </c>
      <c r="AG45" s="10">
        <v>0</v>
      </c>
      <c r="AH45" s="10">
        <v>0</v>
      </c>
      <c r="AI45" s="10">
        <v>60813</v>
      </c>
      <c r="AJ45" s="10">
        <v>428</v>
      </c>
      <c r="AK45" s="10">
        <v>70911</v>
      </c>
      <c r="AL45" s="10">
        <v>0</v>
      </c>
      <c r="AM45" s="10">
        <v>0</v>
      </c>
      <c r="AN45" s="10">
        <v>53779</v>
      </c>
      <c r="AO45" s="10">
        <v>0</v>
      </c>
      <c r="AP45" s="10">
        <v>0</v>
      </c>
      <c r="AQ45" s="10">
        <v>0</v>
      </c>
      <c r="AR45" s="10">
        <v>0</v>
      </c>
      <c r="AS45" s="10">
        <v>37969</v>
      </c>
      <c r="AT45" s="10">
        <v>2979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1085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  <c r="BO45" s="10">
        <v>0</v>
      </c>
      <c r="BP45" s="10"/>
      <c r="BQ45" s="10"/>
      <c r="BR45" s="10"/>
      <c r="BS45" s="230">
        <f t="shared" si="6"/>
        <v>7452015.236</v>
      </c>
      <c r="BT45" s="230">
        <f t="shared" si="3"/>
        <v>454376</v>
      </c>
      <c r="BU45" s="230">
        <f t="shared" si="8"/>
        <v>4371774</v>
      </c>
      <c r="BV45" s="230">
        <f t="shared" si="7"/>
        <v>2586811.236</v>
      </c>
      <c r="BW45" s="230">
        <f t="shared" si="4"/>
        <v>7412961.236</v>
      </c>
      <c r="BX45" s="230">
        <f t="shared" si="9"/>
        <v>39054</v>
      </c>
      <c r="BY45" s="230"/>
      <c r="BZ45" s="230">
        <f t="shared" si="5"/>
        <v>7452015.236</v>
      </c>
      <c r="CA45" s="11"/>
      <c r="CB45" s="11"/>
    </row>
    <row r="46" spans="1:80" ht="12.75">
      <c r="A46" s="30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230"/>
      <c r="BT46" s="230"/>
      <c r="BU46" s="230"/>
      <c r="BV46" s="230"/>
      <c r="BW46" s="230"/>
      <c r="BX46" s="230"/>
      <c r="BY46" s="230"/>
      <c r="BZ46" s="230"/>
      <c r="CA46" s="11"/>
      <c r="CB46" s="11"/>
    </row>
    <row r="47" spans="1:80" s="291" customFormat="1" ht="12.75">
      <c r="A47" s="102" t="s">
        <v>574</v>
      </c>
      <c r="BS47" s="230"/>
      <c r="BT47" s="230"/>
      <c r="BU47" s="230"/>
      <c r="BV47" s="230"/>
      <c r="BW47" s="230"/>
      <c r="BX47" s="230"/>
      <c r="BZ47" s="230">
        <f t="shared" si="5"/>
        <v>0</v>
      </c>
      <c r="CA47" s="13"/>
      <c r="CB47" s="13"/>
    </row>
    <row r="48" spans="1:80" ht="12.75">
      <c r="A48" s="305" t="s">
        <v>575</v>
      </c>
      <c r="B48" s="10">
        <v>3768834</v>
      </c>
      <c r="C48" s="10">
        <v>42090</v>
      </c>
      <c r="D48" s="10">
        <v>2771087</v>
      </c>
      <c r="E48" s="10">
        <v>657731</v>
      </c>
      <c r="F48" s="10">
        <v>1242022</v>
      </c>
      <c r="G48" s="10">
        <v>365197</v>
      </c>
      <c r="H48" s="10">
        <v>1935269</v>
      </c>
      <c r="I48" s="10">
        <v>2200881</v>
      </c>
      <c r="J48" s="10">
        <v>2157244</v>
      </c>
      <c r="K48" s="10">
        <v>950940</v>
      </c>
      <c r="L48" s="10">
        <v>218913</v>
      </c>
      <c r="M48" s="10">
        <v>676880</v>
      </c>
      <c r="N48" s="10">
        <v>1022868.023</v>
      </c>
      <c r="O48" s="10">
        <v>423701</v>
      </c>
      <c r="P48" s="10">
        <v>0</v>
      </c>
      <c r="Q48" s="10">
        <v>566906</v>
      </c>
      <c r="R48" s="10">
        <v>607435</v>
      </c>
      <c r="S48" s="10">
        <v>641378</v>
      </c>
      <c r="T48" s="10">
        <v>108286.299</v>
      </c>
      <c r="U48" s="10">
        <v>0</v>
      </c>
      <c r="V48" s="10">
        <v>0</v>
      </c>
      <c r="W48" s="10">
        <v>300460</v>
      </c>
      <c r="X48" s="10">
        <v>186671</v>
      </c>
      <c r="Y48" s="10">
        <v>63</v>
      </c>
      <c r="Z48" s="10">
        <v>343188</v>
      </c>
      <c r="AA48" s="10">
        <v>0</v>
      </c>
      <c r="AB48" s="10">
        <v>214714</v>
      </c>
      <c r="AC48" s="10">
        <v>134184</v>
      </c>
      <c r="AD48" s="10">
        <v>266199</v>
      </c>
      <c r="AE48" s="10">
        <v>222599</v>
      </c>
      <c r="AF48" s="10">
        <v>53408</v>
      </c>
      <c r="AG48" s="10">
        <v>126534</v>
      </c>
      <c r="AH48" s="10">
        <v>86234</v>
      </c>
      <c r="AI48" s="10">
        <v>40488</v>
      </c>
      <c r="AJ48" s="10">
        <v>0</v>
      </c>
      <c r="AK48" s="10">
        <f>8949+663</f>
        <v>9612</v>
      </c>
      <c r="AL48" s="10">
        <v>62</v>
      </c>
      <c r="AM48" s="10">
        <v>24164</v>
      </c>
      <c r="AN48" s="10">
        <v>12675</v>
      </c>
      <c r="AO48" s="10">
        <v>23819</v>
      </c>
      <c r="AP48" s="10">
        <v>26711</v>
      </c>
      <c r="AQ48" s="10">
        <v>63</v>
      </c>
      <c r="AR48" s="10">
        <v>58665</v>
      </c>
      <c r="AS48" s="10">
        <v>82856</v>
      </c>
      <c r="AT48" s="10">
        <v>10275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31565</v>
      </c>
      <c r="BB48" s="10">
        <v>5472</v>
      </c>
      <c r="BC48" s="10">
        <v>0</v>
      </c>
      <c r="BD48" s="10">
        <v>0</v>
      </c>
      <c r="BE48" s="10">
        <v>0</v>
      </c>
      <c r="BF48" s="10">
        <v>0</v>
      </c>
      <c r="BG48" s="10">
        <v>3731</v>
      </c>
      <c r="BH48" s="10">
        <v>15900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  <c r="BO48" s="10">
        <v>0</v>
      </c>
      <c r="BP48" s="10"/>
      <c r="BQ48" s="10"/>
      <c r="BR48" s="10"/>
      <c r="BS48" s="230">
        <f t="shared" si="6"/>
        <v>22637974.322</v>
      </c>
      <c r="BT48" s="230">
        <f t="shared" si="3"/>
        <v>481120</v>
      </c>
      <c r="BU48" s="230">
        <f t="shared" si="8"/>
        <v>11602861</v>
      </c>
      <c r="BV48" s="230">
        <f t="shared" si="7"/>
        <v>9641714.322</v>
      </c>
      <c r="BW48" s="230">
        <f t="shared" si="4"/>
        <v>21725695.322</v>
      </c>
      <c r="BX48" s="230">
        <f t="shared" si="9"/>
        <v>912279</v>
      </c>
      <c r="BY48" s="230"/>
      <c r="BZ48" s="230">
        <f t="shared" si="5"/>
        <v>22637974.322</v>
      </c>
      <c r="CA48" s="76"/>
      <c r="CB48" s="76"/>
    </row>
    <row r="49" spans="1:80" ht="12" customHeight="1">
      <c r="A49" s="305" t="s">
        <v>576</v>
      </c>
      <c r="B49" s="10">
        <v>0</v>
      </c>
      <c r="C49" s="10">
        <v>288851</v>
      </c>
      <c r="D49" s="10">
        <v>0</v>
      </c>
      <c r="E49" s="10">
        <v>872129</v>
      </c>
      <c r="F49" s="10">
        <v>2365980</v>
      </c>
      <c r="G49" s="10">
        <v>0</v>
      </c>
      <c r="H49" s="10">
        <v>708647</v>
      </c>
      <c r="I49" s="10">
        <v>0</v>
      </c>
      <c r="J49" s="10">
        <v>662795</v>
      </c>
      <c r="K49" s="10">
        <v>0</v>
      </c>
      <c r="L49" s="10">
        <v>0</v>
      </c>
      <c r="M49" s="10">
        <v>82100</v>
      </c>
      <c r="N49" s="10">
        <v>53298.637</v>
      </c>
      <c r="O49" s="10">
        <v>0</v>
      </c>
      <c r="P49" s="10">
        <v>0</v>
      </c>
      <c r="Q49" s="10">
        <v>112256</v>
      </c>
      <c r="R49" s="10">
        <v>1305322</v>
      </c>
      <c r="S49" s="10">
        <v>0</v>
      </c>
      <c r="T49" s="10">
        <v>0</v>
      </c>
      <c r="U49" s="10">
        <v>0</v>
      </c>
      <c r="V49" s="10">
        <v>36106</v>
      </c>
      <c r="W49" s="10">
        <v>125054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426432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50653</v>
      </c>
      <c r="AS49" s="10">
        <v>0</v>
      </c>
      <c r="AT49" s="10">
        <v>0</v>
      </c>
      <c r="AU49" s="10">
        <v>36106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/>
      <c r="BQ49" s="10"/>
      <c r="BR49" s="10"/>
      <c r="BS49" s="230">
        <f t="shared" si="6"/>
        <v>7125729.637</v>
      </c>
      <c r="BT49" s="230">
        <f t="shared" si="3"/>
        <v>375610</v>
      </c>
      <c r="BU49" s="230">
        <f t="shared" si="8"/>
        <v>3931778</v>
      </c>
      <c r="BV49" s="230">
        <f t="shared" si="7"/>
        <v>2693287.637</v>
      </c>
      <c r="BW49" s="230">
        <f t="shared" si="4"/>
        <v>7000675.637</v>
      </c>
      <c r="BX49" s="230">
        <f t="shared" si="9"/>
        <v>125054</v>
      </c>
      <c r="BY49" s="230"/>
      <c r="BZ49" s="230">
        <f t="shared" si="5"/>
        <v>7125729.637</v>
      </c>
      <c r="CA49" s="7"/>
      <c r="CB49" s="7"/>
    </row>
    <row r="50" spans="1:80" s="291" customFormat="1" ht="12.75">
      <c r="A50" s="244" t="s">
        <v>620</v>
      </c>
      <c r="B50" s="226">
        <f aca="true" t="shared" si="16" ref="B50:AC50">SUM(B48:B49)</f>
        <v>3768834</v>
      </c>
      <c r="C50" s="226">
        <f t="shared" si="16"/>
        <v>330941</v>
      </c>
      <c r="D50" s="226">
        <f t="shared" si="16"/>
        <v>2771087</v>
      </c>
      <c r="E50" s="226">
        <f t="shared" si="16"/>
        <v>1529860</v>
      </c>
      <c r="F50" s="226">
        <f t="shared" si="16"/>
        <v>3608002</v>
      </c>
      <c r="G50" s="226">
        <f t="shared" si="16"/>
        <v>365197</v>
      </c>
      <c r="H50" s="226">
        <f t="shared" si="16"/>
        <v>2643916</v>
      </c>
      <c r="I50" s="226">
        <f t="shared" si="16"/>
        <v>2200881</v>
      </c>
      <c r="J50" s="226">
        <f t="shared" si="16"/>
        <v>2820039</v>
      </c>
      <c r="K50" s="226">
        <f>SUM(K48:K49)</f>
        <v>950940</v>
      </c>
      <c r="L50" s="226">
        <f t="shared" si="16"/>
        <v>218913</v>
      </c>
      <c r="M50" s="226">
        <f t="shared" si="16"/>
        <v>758980</v>
      </c>
      <c r="N50" s="226">
        <f aca="true" t="shared" si="17" ref="N50:U50">SUM(N48:N49)</f>
        <v>1076166.6600000001</v>
      </c>
      <c r="O50" s="226">
        <f t="shared" si="17"/>
        <v>423701</v>
      </c>
      <c r="P50" s="226">
        <f t="shared" si="17"/>
        <v>0</v>
      </c>
      <c r="Q50" s="226">
        <f t="shared" si="17"/>
        <v>679162</v>
      </c>
      <c r="R50" s="226">
        <f t="shared" si="17"/>
        <v>1912757</v>
      </c>
      <c r="S50" s="226">
        <f t="shared" si="17"/>
        <v>641378</v>
      </c>
      <c r="T50" s="226">
        <f t="shared" si="17"/>
        <v>108286.299</v>
      </c>
      <c r="U50" s="226">
        <f t="shared" si="17"/>
        <v>0</v>
      </c>
      <c r="V50" s="226">
        <f t="shared" si="16"/>
        <v>36106</v>
      </c>
      <c r="W50" s="226">
        <f t="shared" si="16"/>
        <v>425514</v>
      </c>
      <c r="X50" s="226">
        <f t="shared" si="16"/>
        <v>186671</v>
      </c>
      <c r="Y50" s="226">
        <f>SUM(Y48:Y49)</f>
        <v>63</v>
      </c>
      <c r="Z50" s="226">
        <f t="shared" si="16"/>
        <v>343188</v>
      </c>
      <c r="AA50" s="226">
        <f>SUM(AA48:AA49)</f>
        <v>0</v>
      </c>
      <c r="AB50" s="226">
        <f>SUM(AB48:AB49)</f>
        <v>214714</v>
      </c>
      <c r="AC50" s="226">
        <f t="shared" si="16"/>
        <v>134184</v>
      </c>
      <c r="AD50" s="226">
        <f aca="true" t="shared" si="18" ref="AD50:BO50">SUM(AD48:AD49)</f>
        <v>266199</v>
      </c>
      <c r="AE50" s="226">
        <f t="shared" si="18"/>
        <v>649031</v>
      </c>
      <c r="AF50" s="226">
        <f t="shared" si="18"/>
        <v>53408</v>
      </c>
      <c r="AG50" s="226">
        <f t="shared" si="18"/>
        <v>126534</v>
      </c>
      <c r="AH50" s="226">
        <f t="shared" si="18"/>
        <v>86234</v>
      </c>
      <c r="AI50" s="226">
        <f t="shared" si="18"/>
        <v>40488</v>
      </c>
      <c r="AJ50" s="226">
        <f t="shared" si="18"/>
        <v>0</v>
      </c>
      <c r="AK50" s="226">
        <f t="shared" si="18"/>
        <v>9612</v>
      </c>
      <c r="AL50" s="226">
        <f t="shared" si="18"/>
        <v>62</v>
      </c>
      <c r="AM50" s="226">
        <f t="shared" si="18"/>
        <v>24164</v>
      </c>
      <c r="AN50" s="226">
        <f t="shared" si="18"/>
        <v>12675</v>
      </c>
      <c r="AO50" s="226">
        <f t="shared" si="18"/>
        <v>23819</v>
      </c>
      <c r="AP50" s="226">
        <f t="shared" si="18"/>
        <v>26711</v>
      </c>
      <c r="AQ50" s="226">
        <f t="shared" si="18"/>
        <v>63</v>
      </c>
      <c r="AR50" s="226">
        <f t="shared" si="18"/>
        <v>109318</v>
      </c>
      <c r="AS50" s="226">
        <f t="shared" si="18"/>
        <v>82856</v>
      </c>
      <c r="AT50" s="226">
        <f t="shared" si="18"/>
        <v>10275</v>
      </c>
      <c r="AU50" s="226">
        <f>SUM(AU48:AU49)</f>
        <v>36106</v>
      </c>
      <c r="AV50" s="226">
        <f t="shared" si="18"/>
        <v>0</v>
      </c>
      <c r="AW50" s="226">
        <f t="shared" si="18"/>
        <v>0</v>
      </c>
      <c r="AX50" s="226">
        <f t="shared" si="18"/>
        <v>0</v>
      </c>
      <c r="AY50" s="226">
        <f t="shared" si="18"/>
        <v>0</v>
      </c>
      <c r="AZ50" s="226">
        <f t="shared" si="18"/>
        <v>0</v>
      </c>
      <c r="BA50" s="226">
        <f t="shared" si="18"/>
        <v>31565</v>
      </c>
      <c r="BB50" s="226">
        <f>SUM(BB48:BB49)</f>
        <v>5472</v>
      </c>
      <c r="BC50" s="226">
        <f t="shared" si="18"/>
        <v>0</v>
      </c>
      <c r="BD50" s="226">
        <f t="shared" si="18"/>
        <v>0</v>
      </c>
      <c r="BE50" s="226">
        <f t="shared" si="18"/>
        <v>0</v>
      </c>
      <c r="BF50" s="226">
        <f>SUM(BF48:BF49)</f>
        <v>0</v>
      </c>
      <c r="BG50" s="226">
        <f t="shared" si="18"/>
        <v>3731</v>
      </c>
      <c r="BH50" s="226">
        <f t="shared" si="18"/>
        <v>15900</v>
      </c>
      <c r="BI50" s="226">
        <f t="shared" si="18"/>
        <v>0</v>
      </c>
      <c r="BJ50" s="226">
        <f t="shared" si="18"/>
        <v>0</v>
      </c>
      <c r="BK50" s="226">
        <f t="shared" si="18"/>
        <v>0</v>
      </c>
      <c r="BL50" s="226">
        <f t="shared" si="18"/>
        <v>0</v>
      </c>
      <c r="BM50" s="226">
        <f t="shared" si="18"/>
        <v>0</v>
      </c>
      <c r="BN50" s="226">
        <f t="shared" si="18"/>
        <v>0</v>
      </c>
      <c r="BO50" s="226">
        <f t="shared" si="18"/>
        <v>0</v>
      </c>
      <c r="BP50" s="226"/>
      <c r="BQ50" s="226"/>
      <c r="BR50" s="226"/>
      <c r="BS50" s="230">
        <f t="shared" si="6"/>
        <v>29763703.959</v>
      </c>
      <c r="BT50" s="230">
        <f t="shared" si="3"/>
        <v>856730</v>
      </c>
      <c r="BU50" s="230">
        <f t="shared" si="8"/>
        <v>15534639</v>
      </c>
      <c r="BV50" s="230">
        <f t="shared" si="7"/>
        <v>12335001.959</v>
      </c>
      <c r="BW50" s="230">
        <f t="shared" si="4"/>
        <v>28726370.959</v>
      </c>
      <c r="BX50" s="230">
        <f t="shared" si="9"/>
        <v>1037333</v>
      </c>
      <c r="BY50" s="230"/>
      <c r="BZ50" s="230">
        <f t="shared" si="5"/>
        <v>29763703.959</v>
      </c>
      <c r="CA50" s="13"/>
      <c r="CB50" s="13"/>
    </row>
    <row r="51" spans="1:80" ht="12.75">
      <c r="A51" s="244"/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30"/>
      <c r="BT51" s="230"/>
      <c r="BU51" s="230"/>
      <c r="BV51" s="230"/>
      <c r="BW51" s="230"/>
      <c r="BX51" s="230"/>
      <c r="BY51" s="230"/>
      <c r="BZ51" s="230"/>
      <c r="CA51" s="76"/>
      <c r="CB51" s="76"/>
    </row>
    <row r="52" spans="1:80" ht="12.75" customHeight="1">
      <c r="A52" s="102" t="s">
        <v>577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413270</v>
      </c>
      <c r="I52" s="10">
        <v>241387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776209</v>
      </c>
      <c r="R52" s="10">
        <v>0</v>
      </c>
      <c r="S52" s="10">
        <v>43806</v>
      </c>
      <c r="T52" s="10">
        <v>0</v>
      </c>
      <c r="U52" s="10">
        <v>305832</v>
      </c>
      <c r="V52" s="10">
        <v>0</v>
      </c>
      <c r="W52" s="10">
        <v>0</v>
      </c>
      <c r="X52" s="10">
        <v>775024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1692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11437</v>
      </c>
      <c r="AQ52" s="10">
        <v>0</v>
      </c>
      <c r="AR52" s="10">
        <v>0</v>
      </c>
      <c r="AS52" s="10">
        <v>0</v>
      </c>
      <c r="AT52" s="10">
        <v>121640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1494</v>
      </c>
      <c r="BM52" s="10">
        <v>0</v>
      </c>
      <c r="BN52" s="10">
        <v>0</v>
      </c>
      <c r="BO52" s="10">
        <v>0</v>
      </c>
      <c r="BP52" s="10"/>
      <c r="BQ52" s="10"/>
      <c r="BR52" s="10"/>
      <c r="BS52" s="230">
        <f t="shared" si="6"/>
        <v>2691791</v>
      </c>
      <c r="BT52" s="230">
        <f t="shared" si="3"/>
        <v>318763</v>
      </c>
      <c r="BU52" s="230">
        <f t="shared" si="8"/>
        <v>2129949</v>
      </c>
      <c r="BV52" s="230">
        <f t="shared" si="7"/>
        <v>243079</v>
      </c>
      <c r="BW52" s="230">
        <f t="shared" si="4"/>
        <v>2691791</v>
      </c>
      <c r="BX52" s="230">
        <f t="shared" si="9"/>
        <v>0</v>
      </c>
      <c r="BY52" s="230"/>
      <c r="BZ52" s="230">
        <f t="shared" si="5"/>
        <v>2691791</v>
      </c>
      <c r="CA52" s="7"/>
      <c r="CB52" s="7"/>
    </row>
    <row r="53" spans="1:80" ht="12.75" customHeight="1">
      <c r="A53" s="102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230"/>
      <c r="BT53" s="230"/>
      <c r="BU53" s="230"/>
      <c r="BV53" s="230"/>
      <c r="BW53" s="230"/>
      <c r="BX53" s="230"/>
      <c r="BY53" s="230"/>
      <c r="BZ53" s="230"/>
      <c r="CA53" s="7"/>
      <c r="CB53" s="7"/>
    </row>
    <row r="54" spans="1:80" ht="12.75">
      <c r="A54" s="102" t="s">
        <v>578</v>
      </c>
      <c r="B54" s="10">
        <v>0</v>
      </c>
      <c r="C54" s="10">
        <v>32033</v>
      </c>
      <c r="D54" s="10">
        <v>19797</v>
      </c>
      <c r="E54" s="10">
        <v>9500</v>
      </c>
      <c r="F54" s="10">
        <v>27620</v>
      </c>
      <c r="G54" s="10">
        <v>0</v>
      </c>
      <c r="H54" s="10">
        <v>1291</v>
      </c>
      <c r="I54" s="10">
        <v>21606</v>
      </c>
      <c r="J54" s="10">
        <v>75916</v>
      </c>
      <c r="K54" s="10">
        <v>68845</v>
      </c>
      <c r="L54" s="10">
        <v>0</v>
      </c>
      <c r="M54" s="10">
        <v>28531</v>
      </c>
      <c r="N54" s="10">
        <v>156966.413</v>
      </c>
      <c r="O54" s="10">
        <f>70+15866.379</f>
        <v>15936.379</v>
      </c>
      <c r="P54" s="10">
        <v>0</v>
      </c>
      <c r="Q54" s="10">
        <v>5777</v>
      </c>
      <c r="R54" s="10">
        <v>0</v>
      </c>
      <c r="S54" s="10">
        <v>0</v>
      </c>
      <c r="T54" s="10">
        <v>7200</v>
      </c>
      <c r="U54" s="10">
        <v>0</v>
      </c>
      <c r="V54" s="10">
        <v>0</v>
      </c>
      <c r="W54" s="10">
        <v>0</v>
      </c>
      <c r="X54" s="10">
        <v>305</v>
      </c>
      <c r="Y54" s="10">
        <v>0</v>
      </c>
      <c r="Z54" s="10">
        <v>0</v>
      </c>
      <c r="AA54" s="10">
        <v>0</v>
      </c>
      <c r="AB54" s="10">
        <v>11500</v>
      </c>
      <c r="AC54" s="10">
        <v>0</v>
      </c>
      <c r="AD54" s="10">
        <v>0</v>
      </c>
      <c r="AE54" s="10">
        <v>1971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14068.919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9606</v>
      </c>
      <c r="AU54" s="10">
        <v>0</v>
      </c>
      <c r="AV54" s="10">
        <v>0</v>
      </c>
      <c r="AW54" s="10">
        <v>680</v>
      </c>
      <c r="AX54" s="10">
        <v>0</v>
      </c>
      <c r="AY54" s="10">
        <v>0</v>
      </c>
      <c r="AZ54" s="10">
        <v>0</v>
      </c>
      <c r="BA54" s="10">
        <v>5094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/>
      <c r="BQ54" s="10"/>
      <c r="BR54" s="10"/>
      <c r="BS54" s="230">
        <f t="shared" si="6"/>
        <v>514243.711</v>
      </c>
      <c r="BT54" s="230">
        <f t="shared" si="3"/>
        <v>46781.919</v>
      </c>
      <c r="BU54" s="230">
        <f t="shared" si="8"/>
        <v>253624.37900000002</v>
      </c>
      <c r="BV54" s="230">
        <f t="shared" si="7"/>
        <v>208743.413</v>
      </c>
      <c r="BW54" s="230">
        <f t="shared" si="4"/>
        <v>509149.711</v>
      </c>
      <c r="BX54" s="230">
        <f t="shared" si="9"/>
        <v>5094</v>
      </c>
      <c r="BY54" s="230"/>
      <c r="BZ54" s="230">
        <f t="shared" si="5"/>
        <v>514243.711</v>
      </c>
      <c r="CA54" s="76"/>
      <c r="CB54" s="76"/>
    </row>
    <row r="55" spans="1:80" ht="9.75" customHeight="1">
      <c r="A55" s="102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230"/>
      <c r="BT55" s="230"/>
      <c r="BU55" s="230"/>
      <c r="BV55" s="230"/>
      <c r="BW55" s="230"/>
      <c r="BX55" s="230"/>
      <c r="BY55" s="230"/>
      <c r="BZ55" s="230"/>
      <c r="CA55" s="76"/>
      <c r="CB55" s="76"/>
    </row>
    <row r="56" spans="1:80" ht="10.5" customHeight="1">
      <c r="A56" s="10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230"/>
      <c r="BT56" s="230"/>
      <c r="BU56" s="230"/>
      <c r="BV56" s="230"/>
      <c r="BW56" s="230"/>
      <c r="BX56" s="230"/>
      <c r="BY56" s="230"/>
      <c r="BZ56" s="230"/>
      <c r="CA56" s="76"/>
      <c r="CB56" s="76"/>
    </row>
    <row r="57" spans="1:80" s="291" customFormat="1" ht="12.75">
      <c r="A57" s="102" t="s">
        <v>590</v>
      </c>
      <c r="B57" s="226">
        <f aca="true" t="shared" si="19" ref="B57:BM57">B26+B37+B39+B41+B44+B50+B52+B54</f>
        <v>52433868</v>
      </c>
      <c r="C57" s="226">
        <f t="shared" si="19"/>
        <v>33221555</v>
      </c>
      <c r="D57" s="226">
        <f t="shared" si="19"/>
        <v>32931900</v>
      </c>
      <c r="E57" s="226">
        <f t="shared" si="19"/>
        <v>28229822</v>
      </c>
      <c r="F57" s="226">
        <f t="shared" si="19"/>
        <v>27392506</v>
      </c>
      <c r="G57" s="226">
        <f t="shared" si="19"/>
        <v>13136208</v>
      </c>
      <c r="H57" s="226">
        <f t="shared" si="19"/>
        <v>12844711</v>
      </c>
      <c r="I57" s="226">
        <f t="shared" si="19"/>
        <v>10737824</v>
      </c>
      <c r="J57" s="226">
        <f t="shared" si="19"/>
        <v>10303488</v>
      </c>
      <c r="K57" s="226">
        <f t="shared" si="19"/>
        <v>9851893</v>
      </c>
      <c r="L57" s="226">
        <f t="shared" si="19"/>
        <v>9011093</v>
      </c>
      <c r="M57" s="226">
        <f t="shared" si="19"/>
        <v>8588748</v>
      </c>
      <c r="N57" s="226">
        <f t="shared" si="19"/>
        <v>7520607.623</v>
      </c>
      <c r="O57" s="226">
        <f t="shared" si="19"/>
        <v>7093459.379</v>
      </c>
      <c r="P57" s="226">
        <f t="shared" si="19"/>
        <v>6329719</v>
      </c>
      <c r="Q57" s="226">
        <f t="shared" si="19"/>
        <v>6793445</v>
      </c>
      <c r="R57" s="226">
        <f t="shared" si="19"/>
        <v>5817958</v>
      </c>
      <c r="S57" s="226">
        <f t="shared" si="19"/>
        <v>4648747</v>
      </c>
      <c r="T57" s="226">
        <f t="shared" si="19"/>
        <v>4650054.807</v>
      </c>
      <c r="U57" s="226">
        <f t="shared" si="19"/>
        <v>4606364</v>
      </c>
      <c r="V57" s="226">
        <f t="shared" si="19"/>
        <v>4201498</v>
      </c>
      <c r="W57" s="226">
        <f t="shared" si="19"/>
        <v>4203081</v>
      </c>
      <c r="X57" s="226">
        <f t="shared" si="19"/>
        <v>3396038</v>
      </c>
      <c r="Y57" s="226">
        <f t="shared" si="19"/>
        <v>3239900</v>
      </c>
      <c r="Z57" s="226">
        <f t="shared" si="19"/>
        <v>3057798</v>
      </c>
      <c r="AA57" s="226">
        <f t="shared" si="19"/>
        <v>1672678</v>
      </c>
      <c r="AB57" s="226">
        <f t="shared" si="19"/>
        <v>1675317</v>
      </c>
      <c r="AC57" s="226">
        <f t="shared" si="19"/>
        <v>2276954</v>
      </c>
      <c r="AD57" s="226">
        <f t="shared" si="19"/>
        <v>2121286</v>
      </c>
      <c r="AE57" s="226">
        <f t="shared" si="19"/>
        <v>2015552</v>
      </c>
      <c r="AF57" s="226">
        <f t="shared" si="19"/>
        <v>1897444</v>
      </c>
      <c r="AG57" s="226">
        <f t="shared" si="19"/>
        <v>1541217</v>
      </c>
      <c r="AH57" s="226">
        <f t="shared" si="19"/>
        <v>1523704</v>
      </c>
      <c r="AI57" s="226">
        <f t="shared" si="19"/>
        <v>1463039</v>
      </c>
      <c r="AJ57" s="226">
        <f t="shared" si="19"/>
        <v>1148908</v>
      </c>
      <c r="AK57" s="226">
        <f t="shared" si="19"/>
        <v>1196735</v>
      </c>
      <c r="AL57" s="226">
        <f t="shared" si="19"/>
        <v>1097560</v>
      </c>
      <c r="AM57" s="226">
        <f t="shared" si="19"/>
        <v>981323</v>
      </c>
      <c r="AN57" s="226">
        <f t="shared" si="19"/>
        <v>940145.919</v>
      </c>
      <c r="AO57" s="226">
        <f t="shared" si="19"/>
        <v>968465</v>
      </c>
      <c r="AP57" s="226">
        <f t="shared" si="19"/>
        <v>826251</v>
      </c>
      <c r="AQ57" s="226">
        <f t="shared" si="19"/>
        <v>787263</v>
      </c>
      <c r="AR57" s="226">
        <f t="shared" si="19"/>
        <v>767900</v>
      </c>
      <c r="AS57" s="226">
        <f t="shared" si="19"/>
        <v>752886</v>
      </c>
      <c r="AT57" s="226">
        <f t="shared" si="19"/>
        <v>710501</v>
      </c>
      <c r="AU57" s="226">
        <f t="shared" si="19"/>
        <v>445871</v>
      </c>
      <c r="AV57" s="226">
        <f t="shared" si="19"/>
        <v>619900</v>
      </c>
      <c r="AW57" s="226">
        <f t="shared" si="19"/>
        <v>605031</v>
      </c>
      <c r="AX57" s="226">
        <f t="shared" si="19"/>
        <v>520628</v>
      </c>
      <c r="AY57" s="226">
        <f t="shared" si="19"/>
        <v>426619</v>
      </c>
      <c r="AZ57" s="226">
        <f t="shared" si="19"/>
        <v>376381</v>
      </c>
      <c r="BA57" s="226">
        <f t="shared" si="19"/>
        <v>386163</v>
      </c>
      <c r="BB57" s="226">
        <f t="shared" si="19"/>
        <v>281299</v>
      </c>
      <c r="BC57" s="226">
        <f t="shared" si="19"/>
        <v>307338</v>
      </c>
      <c r="BD57" s="226">
        <f t="shared" si="19"/>
        <v>220879</v>
      </c>
      <c r="BE57" s="226">
        <f t="shared" si="19"/>
        <v>117325</v>
      </c>
      <c r="BF57" s="226">
        <f t="shared" si="19"/>
        <v>155631</v>
      </c>
      <c r="BG57" s="226">
        <f t="shared" si="19"/>
        <v>136899</v>
      </c>
      <c r="BH57" s="226">
        <f t="shared" si="19"/>
        <v>120041</v>
      </c>
      <c r="BI57" s="226">
        <f t="shared" si="19"/>
        <v>117610</v>
      </c>
      <c r="BJ57" s="226">
        <f t="shared" si="19"/>
        <v>102473</v>
      </c>
      <c r="BK57" s="226">
        <f t="shared" si="19"/>
        <v>50923</v>
      </c>
      <c r="BL57" s="226">
        <f t="shared" si="19"/>
        <v>33011</v>
      </c>
      <c r="BM57" s="226">
        <f t="shared" si="19"/>
        <v>10647</v>
      </c>
      <c r="BN57" s="226">
        <f>BN26+BN37+BN39+BN41+BN44+BN50+BN52+BN54</f>
        <v>10578</v>
      </c>
      <c r="BO57" s="226">
        <f>BO26+BO37+BO39+BO41+BO44+BO50+BO52+BO54</f>
        <v>0</v>
      </c>
      <c r="BP57" s="226"/>
      <c r="BQ57" s="226"/>
      <c r="BR57" s="226"/>
      <c r="BS57" s="230">
        <f t="shared" si="6"/>
        <v>345652661.728</v>
      </c>
      <c r="BT57" s="230">
        <f t="shared" si="3"/>
        <v>58023927.919</v>
      </c>
      <c r="BU57" s="230">
        <f t="shared" si="8"/>
        <v>127167383.379</v>
      </c>
      <c r="BV57" s="230">
        <f t="shared" si="7"/>
        <v>145167595.43</v>
      </c>
      <c r="BW57" s="230">
        <f t="shared" si="4"/>
        <v>330358906.728</v>
      </c>
      <c r="BX57" s="230">
        <f t="shared" si="9"/>
        <v>15293755</v>
      </c>
      <c r="BY57" s="230"/>
      <c r="BZ57" s="230">
        <f t="shared" si="5"/>
        <v>345652661.728</v>
      </c>
      <c r="CA57" s="87"/>
      <c r="CB57" s="87"/>
    </row>
    <row r="58" spans="1:80" ht="4.5" customHeight="1">
      <c r="A58" s="102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230"/>
      <c r="BT58" s="230"/>
      <c r="BU58" s="230"/>
      <c r="BV58" s="230"/>
      <c r="BW58" s="230"/>
      <c r="BX58" s="230"/>
      <c r="BY58" s="230"/>
      <c r="BZ58" s="230"/>
      <c r="CA58" s="7"/>
      <c r="CB58" s="7"/>
    </row>
    <row r="59" spans="1:80" ht="12" customHeight="1">
      <c r="A59" s="306" t="s">
        <v>684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230"/>
      <c r="BT59" s="230"/>
      <c r="BU59" s="230"/>
      <c r="BV59" s="230"/>
      <c r="BW59" s="230"/>
      <c r="BX59" s="230"/>
      <c r="BY59" s="230"/>
      <c r="BZ59" s="230"/>
      <c r="CA59" s="76"/>
      <c r="CB59" s="76"/>
    </row>
    <row r="60" spans="1:80" ht="9" customHeight="1">
      <c r="A60" s="333" t="s">
        <v>686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230"/>
      <c r="BT60" s="230"/>
      <c r="BU60" s="230"/>
      <c r="BV60" s="230"/>
      <c r="BW60" s="230"/>
      <c r="BX60" s="230"/>
      <c r="BY60" s="230"/>
      <c r="BZ60" s="230"/>
      <c r="CA60" s="76"/>
      <c r="CB60" s="76"/>
    </row>
    <row r="61" spans="1:80" ht="11.25" customHeight="1">
      <c r="A61" s="307" t="s">
        <v>581</v>
      </c>
      <c r="B61" s="3">
        <v>3681377</v>
      </c>
      <c r="C61" s="3">
        <v>42090</v>
      </c>
      <c r="D61" s="3">
        <v>2727315</v>
      </c>
      <c r="E61" s="3">
        <v>641268</v>
      </c>
      <c r="F61" s="3">
        <v>1191064</v>
      </c>
      <c r="G61" s="3">
        <v>365097</v>
      </c>
      <c r="H61" s="3">
        <v>1753912</v>
      </c>
      <c r="I61" s="3">
        <v>2047648</v>
      </c>
      <c r="J61" s="3">
        <v>1725768</v>
      </c>
      <c r="K61" s="3">
        <v>942215</v>
      </c>
      <c r="L61" s="3">
        <v>193530</v>
      </c>
      <c r="M61" s="3">
        <v>587107</v>
      </c>
      <c r="N61" s="3">
        <v>947260</v>
      </c>
      <c r="O61" s="3">
        <v>359826</v>
      </c>
      <c r="P61" s="3">
        <v>0</v>
      </c>
      <c r="Q61" s="3">
        <v>525056</v>
      </c>
      <c r="R61" s="3">
        <v>607435</v>
      </c>
      <c r="S61" s="3">
        <v>574073</v>
      </c>
      <c r="T61" s="3">
        <v>103086.923</v>
      </c>
      <c r="U61" s="3">
        <v>0</v>
      </c>
      <c r="V61" s="3">
        <v>0</v>
      </c>
      <c r="W61" s="3">
        <v>300460</v>
      </c>
      <c r="X61" s="3">
        <v>171630</v>
      </c>
      <c r="Y61" s="3">
        <v>63</v>
      </c>
      <c r="Z61" s="3">
        <v>343188</v>
      </c>
      <c r="AA61" s="3">
        <v>0</v>
      </c>
      <c r="AB61" s="3">
        <v>201783</v>
      </c>
      <c r="AC61" s="3">
        <v>134184</v>
      </c>
      <c r="AD61" s="3">
        <v>266199</v>
      </c>
      <c r="AE61" s="3">
        <v>184356</v>
      </c>
      <c r="AF61" s="3">
        <v>53408</v>
      </c>
      <c r="AG61" s="3">
        <v>118260</v>
      </c>
      <c r="AH61" s="3">
        <v>81143</v>
      </c>
      <c r="AI61" s="3">
        <v>36784</v>
      </c>
      <c r="AJ61" s="3">
        <v>0</v>
      </c>
      <c r="AK61" s="3">
        <v>8949</v>
      </c>
      <c r="AL61" s="3">
        <v>62</v>
      </c>
      <c r="AM61" s="3">
        <v>24164</v>
      </c>
      <c r="AN61" s="3">
        <v>11695</v>
      </c>
      <c r="AO61" s="3">
        <v>23819</v>
      </c>
      <c r="AP61" s="3">
        <v>26711</v>
      </c>
      <c r="AQ61" s="3">
        <v>63</v>
      </c>
      <c r="AR61" s="3">
        <v>55641</v>
      </c>
      <c r="AS61" s="3">
        <v>76201</v>
      </c>
      <c r="AT61" s="3">
        <v>5238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31476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3731</v>
      </c>
      <c r="BH61" s="3">
        <v>15900</v>
      </c>
      <c r="BI61" s="3">
        <v>0</v>
      </c>
      <c r="BJ61" s="3">
        <v>0</v>
      </c>
      <c r="BK61" s="3">
        <v>0</v>
      </c>
      <c r="BL61" s="3">
        <v>0</v>
      </c>
      <c r="BM61" s="3">
        <v>0</v>
      </c>
      <c r="BN61" s="3">
        <v>0</v>
      </c>
      <c r="BO61" s="3">
        <v>0</v>
      </c>
      <c r="BP61" s="3"/>
      <c r="BQ61" s="3"/>
      <c r="BR61" s="3"/>
      <c r="BS61" s="230">
        <f t="shared" si="6"/>
        <v>21190235.923</v>
      </c>
      <c r="BT61" s="230">
        <f>SUM(C61+P61+U61+V61+AA61+AD61+AF61+AN61+AP61+AR61+AW61+BB61+BD61+BE61+BH61+BK61+BL61+BN61+BO61)</f>
        <v>471644</v>
      </c>
      <c r="BU61" s="230">
        <f t="shared" si="8"/>
        <v>10599988</v>
      </c>
      <c r="BV61" s="230">
        <f t="shared" si="7"/>
        <v>9221342.923</v>
      </c>
      <c r="BW61" s="230">
        <f t="shared" si="4"/>
        <v>20292974.923</v>
      </c>
      <c r="BX61" s="230">
        <f t="shared" si="9"/>
        <v>897261</v>
      </c>
      <c r="BY61" s="230"/>
      <c r="BZ61" s="230">
        <f t="shared" si="5"/>
        <v>21190235.923</v>
      </c>
      <c r="CA61" s="76"/>
      <c r="CB61" s="76"/>
    </row>
    <row r="62" spans="1:78" ht="11.25" customHeight="1">
      <c r="A62" s="307" t="s">
        <v>579</v>
      </c>
      <c r="B62" s="3">
        <v>0</v>
      </c>
      <c r="C62" s="3">
        <v>288851</v>
      </c>
      <c r="D62" s="3">
        <v>0</v>
      </c>
      <c r="E62" s="3">
        <v>872129</v>
      </c>
      <c r="F62" s="3">
        <v>2365980</v>
      </c>
      <c r="G62" s="3">
        <v>0</v>
      </c>
      <c r="H62" s="3">
        <v>708647</v>
      </c>
      <c r="I62" s="3">
        <v>0</v>
      </c>
      <c r="J62" s="3">
        <v>662795</v>
      </c>
      <c r="K62" s="3">
        <v>0</v>
      </c>
      <c r="L62" s="10">
        <v>0</v>
      </c>
      <c r="M62" s="3">
        <v>82100</v>
      </c>
      <c r="N62" s="3">
        <v>45388</v>
      </c>
      <c r="O62" s="3">
        <v>0</v>
      </c>
      <c r="P62" s="3">
        <v>0</v>
      </c>
      <c r="Q62" s="3">
        <v>112256</v>
      </c>
      <c r="R62" s="3">
        <v>1305322</v>
      </c>
      <c r="S62" s="3">
        <v>0</v>
      </c>
      <c r="T62" s="3">
        <v>0</v>
      </c>
      <c r="U62" s="3">
        <v>0</v>
      </c>
      <c r="V62" s="3">
        <v>36106</v>
      </c>
      <c r="W62" s="3">
        <v>125054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408270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50653</v>
      </c>
      <c r="AS62" s="3">
        <v>0</v>
      </c>
      <c r="AT62" s="3">
        <v>0</v>
      </c>
      <c r="AU62" s="3">
        <v>36106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/>
      <c r="BQ62" s="3"/>
      <c r="BR62" s="3"/>
      <c r="BS62" s="230">
        <f t="shared" si="6"/>
        <v>7099657</v>
      </c>
      <c r="BT62" s="230">
        <f>SUM(C62+P62+U62+V62+AA62+AD62+AF62+AN62+AP62+AR62+AW62+BB62+BD62+BE62+BH62+BK62+BL62+BN62+BO62)</f>
        <v>375610</v>
      </c>
      <c r="BU62" s="230">
        <f t="shared" si="8"/>
        <v>3931778</v>
      </c>
      <c r="BV62" s="230">
        <f t="shared" si="7"/>
        <v>2667215</v>
      </c>
      <c r="BW62" s="230">
        <f t="shared" si="4"/>
        <v>6974603</v>
      </c>
      <c r="BX62" s="230">
        <f t="shared" si="9"/>
        <v>125054</v>
      </c>
      <c r="BY62" s="230"/>
      <c r="BZ62" s="230">
        <f t="shared" si="5"/>
        <v>7099657</v>
      </c>
    </row>
    <row r="63" spans="1:78" ht="11.25" customHeight="1">
      <c r="A63" s="307" t="s">
        <v>580</v>
      </c>
      <c r="B63" s="3">
        <v>87457</v>
      </c>
      <c r="C63" s="3">
        <v>0</v>
      </c>
      <c r="D63" s="3">
        <v>43772</v>
      </c>
      <c r="E63" s="3">
        <v>16463</v>
      </c>
      <c r="F63" s="3">
        <v>50958</v>
      </c>
      <c r="G63" s="3">
        <v>100</v>
      </c>
      <c r="H63" s="3">
        <v>181357</v>
      </c>
      <c r="I63" s="3">
        <v>153233</v>
      </c>
      <c r="J63" s="3">
        <v>431476</v>
      </c>
      <c r="K63" s="3">
        <f>5000+3725</f>
        <v>8725</v>
      </c>
      <c r="L63" s="3">
        <v>25383</v>
      </c>
      <c r="M63" s="3">
        <v>89773</v>
      </c>
      <c r="N63" s="3">
        <v>83519</v>
      </c>
      <c r="O63" s="3">
        <f>27335+36540</f>
        <v>63875</v>
      </c>
      <c r="P63" s="3">
        <v>0</v>
      </c>
      <c r="Q63" s="3">
        <v>41850</v>
      </c>
      <c r="R63" s="3">
        <v>0</v>
      </c>
      <c r="S63" s="3">
        <v>67305</v>
      </c>
      <c r="T63" s="3">
        <v>5199</v>
      </c>
      <c r="U63" s="3">
        <v>0</v>
      </c>
      <c r="V63" s="3">
        <v>0</v>
      </c>
      <c r="W63" s="3">
        <v>0</v>
      </c>
      <c r="X63" s="3">
        <f>10500+4541</f>
        <v>15041</v>
      </c>
      <c r="Y63" s="3">
        <v>0</v>
      </c>
      <c r="Z63" s="3">
        <v>0</v>
      </c>
      <c r="AA63" s="3">
        <v>0</v>
      </c>
      <c r="AB63" s="3">
        <v>12931</v>
      </c>
      <c r="AC63" s="3">
        <v>0</v>
      </c>
      <c r="AD63" s="3">
        <v>0</v>
      </c>
      <c r="AE63" s="3">
        <v>56405</v>
      </c>
      <c r="AF63" s="3">
        <v>0</v>
      </c>
      <c r="AG63" s="3">
        <v>8274</v>
      </c>
      <c r="AH63" s="3">
        <v>5091</v>
      </c>
      <c r="AI63" s="3">
        <v>3704</v>
      </c>
      <c r="AJ63" s="3">
        <v>0</v>
      </c>
      <c r="AK63" s="3">
        <v>663</v>
      </c>
      <c r="AL63" s="3">
        <v>0</v>
      </c>
      <c r="AM63" s="3">
        <v>0</v>
      </c>
      <c r="AN63" s="3">
        <v>980</v>
      </c>
      <c r="AO63" s="3">
        <v>0</v>
      </c>
      <c r="AP63" s="3">
        <v>0</v>
      </c>
      <c r="AQ63" s="3">
        <v>0</v>
      </c>
      <c r="AR63" s="3">
        <v>3024</v>
      </c>
      <c r="AS63" s="3">
        <v>6655</v>
      </c>
      <c r="AT63" s="3">
        <v>5037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89</v>
      </c>
      <c r="BB63" s="3">
        <v>5472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3">
        <v>0</v>
      </c>
      <c r="BM63" s="3">
        <v>0</v>
      </c>
      <c r="BN63" s="3">
        <v>0</v>
      </c>
      <c r="BO63" s="3">
        <v>0</v>
      </c>
      <c r="BP63" s="3"/>
      <c r="BQ63" s="3"/>
      <c r="BR63" s="3"/>
      <c r="BS63" s="230">
        <f t="shared" si="6"/>
        <v>1473811</v>
      </c>
      <c r="BT63" s="230">
        <f>SUM(C63+P63+U63+V63+AA63+AD63+AF63+AN63+AP63+AR63+AW63+BB63+BD63+BE63+BH63+BK63+BL63+BN63+BO63)</f>
        <v>9476</v>
      </c>
      <c r="BU63" s="230">
        <f t="shared" si="8"/>
        <v>1002873</v>
      </c>
      <c r="BV63" s="230">
        <f t="shared" si="7"/>
        <v>446444</v>
      </c>
      <c r="BW63" s="230">
        <f t="shared" si="4"/>
        <v>1458793</v>
      </c>
      <c r="BX63" s="230">
        <f t="shared" si="9"/>
        <v>15018</v>
      </c>
      <c r="BY63" s="230"/>
      <c r="BZ63" s="230">
        <f t="shared" si="5"/>
        <v>1473811</v>
      </c>
    </row>
    <row r="64" spans="1:80" ht="12" customHeight="1">
      <c r="A64" s="334" t="s">
        <v>685</v>
      </c>
      <c r="B64" s="76">
        <f>SUM(B61:B63)</f>
        <v>3768834</v>
      </c>
      <c r="C64" s="76">
        <f aca="true" t="shared" si="20" ref="C64:BN64">SUM(C61:C63)</f>
        <v>330941</v>
      </c>
      <c r="D64" s="76">
        <f t="shared" si="20"/>
        <v>2771087</v>
      </c>
      <c r="E64" s="76">
        <f t="shared" si="20"/>
        <v>1529860</v>
      </c>
      <c r="F64" s="76">
        <f t="shared" si="20"/>
        <v>3608002</v>
      </c>
      <c r="G64" s="76">
        <f t="shared" si="20"/>
        <v>365197</v>
      </c>
      <c r="H64" s="76">
        <f t="shared" si="20"/>
        <v>2643916</v>
      </c>
      <c r="I64" s="76">
        <f t="shared" si="20"/>
        <v>2200881</v>
      </c>
      <c r="J64" s="76">
        <f t="shared" si="20"/>
        <v>2820039</v>
      </c>
      <c r="K64" s="76">
        <f t="shared" si="20"/>
        <v>950940</v>
      </c>
      <c r="L64" s="76">
        <f>SUM(L61:L63)</f>
        <v>218913</v>
      </c>
      <c r="M64" s="76">
        <f t="shared" si="20"/>
        <v>758980</v>
      </c>
      <c r="N64" s="76">
        <f t="shared" si="20"/>
        <v>1076167</v>
      </c>
      <c r="O64" s="76">
        <f t="shared" si="20"/>
        <v>423701</v>
      </c>
      <c r="P64" s="76">
        <f t="shared" si="20"/>
        <v>0</v>
      </c>
      <c r="Q64" s="76">
        <f t="shared" si="20"/>
        <v>679162</v>
      </c>
      <c r="R64" s="76">
        <f t="shared" si="20"/>
        <v>1912757</v>
      </c>
      <c r="S64" s="76">
        <f t="shared" si="20"/>
        <v>641378</v>
      </c>
      <c r="T64" s="76">
        <f t="shared" si="20"/>
        <v>108285.923</v>
      </c>
      <c r="U64" s="76">
        <f t="shared" si="20"/>
        <v>0</v>
      </c>
      <c r="V64" s="76">
        <f t="shared" si="20"/>
        <v>36106</v>
      </c>
      <c r="W64" s="76">
        <f t="shared" si="20"/>
        <v>425514</v>
      </c>
      <c r="X64" s="76">
        <f t="shared" si="20"/>
        <v>186671</v>
      </c>
      <c r="Y64" s="76">
        <f t="shared" si="20"/>
        <v>63</v>
      </c>
      <c r="Z64" s="76">
        <f t="shared" si="20"/>
        <v>343188</v>
      </c>
      <c r="AA64" s="76">
        <f t="shared" si="20"/>
        <v>0</v>
      </c>
      <c r="AB64" s="76">
        <f t="shared" si="20"/>
        <v>214714</v>
      </c>
      <c r="AC64" s="76">
        <f t="shared" si="20"/>
        <v>134184</v>
      </c>
      <c r="AD64" s="76">
        <f t="shared" si="20"/>
        <v>266199</v>
      </c>
      <c r="AE64" s="76">
        <f t="shared" si="20"/>
        <v>649031</v>
      </c>
      <c r="AF64" s="76">
        <f t="shared" si="20"/>
        <v>53408</v>
      </c>
      <c r="AG64" s="76">
        <f t="shared" si="20"/>
        <v>126534</v>
      </c>
      <c r="AH64" s="76">
        <f t="shared" si="20"/>
        <v>86234</v>
      </c>
      <c r="AI64" s="76">
        <f t="shared" si="20"/>
        <v>40488</v>
      </c>
      <c r="AJ64" s="76">
        <f t="shared" si="20"/>
        <v>0</v>
      </c>
      <c r="AK64" s="76">
        <f t="shared" si="20"/>
        <v>9612</v>
      </c>
      <c r="AL64" s="76">
        <f t="shared" si="20"/>
        <v>62</v>
      </c>
      <c r="AM64" s="76">
        <f t="shared" si="20"/>
        <v>24164</v>
      </c>
      <c r="AN64" s="76">
        <f t="shared" si="20"/>
        <v>12675</v>
      </c>
      <c r="AO64" s="76">
        <f t="shared" si="20"/>
        <v>23819</v>
      </c>
      <c r="AP64" s="76">
        <f t="shared" si="20"/>
        <v>26711</v>
      </c>
      <c r="AQ64" s="76">
        <f t="shared" si="20"/>
        <v>63</v>
      </c>
      <c r="AR64" s="76">
        <f t="shared" si="20"/>
        <v>109318</v>
      </c>
      <c r="AS64" s="76">
        <f t="shared" si="20"/>
        <v>82856</v>
      </c>
      <c r="AT64" s="76">
        <f t="shared" si="20"/>
        <v>10275</v>
      </c>
      <c r="AU64" s="76">
        <f t="shared" si="20"/>
        <v>36106</v>
      </c>
      <c r="AV64" s="76">
        <f t="shared" si="20"/>
        <v>0</v>
      </c>
      <c r="AW64" s="76">
        <f t="shared" si="20"/>
        <v>0</v>
      </c>
      <c r="AX64" s="76">
        <f t="shared" si="20"/>
        <v>0</v>
      </c>
      <c r="AY64" s="76">
        <f t="shared" si="20"/>
        <v>0</v>
      </c>
      <c r="AZ64" s="76">
        <f t="shared" si="20"/>
        <v>0</v>
      </c>
      <c r="BA64" s="76">
        <f t="shared" si="20"/>
        <v>31565</v>
      </c>
      <c r="BB64" s="76">
        <f t="shared" si="20"/>
        <v>5472</v>
      </c>
      <c r="BC64" s="76">
        <f t="shared" si="20"/>
        <v>0</v>
      </c>
      <c r="BD64" s="76">
        <f t="shared" si="20"/>
        <v>0</v>
      </c>
      <c r="BE64" s="76">
        <f t="shared" si="20"/>
        <v>0</v>
      </c>
      <c r="BF64" s="76">
        <f t="shared" si="20"/>
        <v>0</v>
      </c>
      <c r="BG64" s="76">
        <f t="shared" si="20"/>
        <v>3731</v>
      </c>
      <c r="BH64" s="76">
        <f t="shared" si="20"/>
        <v>15900</v>
      </c>
      <c r="BI64" s="76">
        <f t="shared" si="20"/>
        <v>0</v>
      </c>
      <c r="BJ64" s="76">
        <f t="shared" si="20"/>
        <v>0</v>
      </c>
      <c r="BK64" s="76">
        <f t="shared" si="20"/>
        <v>0</v>
      </c>
      <c r="BL64" s="76">
        <f t="shared" si="20"/>
        <v>0</v>
      </c>
      <c r="BM64" s="76">
        <f t="shared" si="20"/>
        <v>0</v>
      </c>
      <c r="BN64" s="76">
        <f t="shared" si="20"/>
        <v>0</v>
      </c>
      <c r="BO64" s="76">
        <f>SUM(BO61:BO63)</f>
        <v>0</v>
      </c>
      <c r="BP64" s="76"/>
      <c r="BQ64" s="76"/>
      <c r="BR64" s="76"/>
      <c r="BS64" s="230">
        <f t="shared" si="6"/>
        <v>29763703.923</v>
      </c>
      <c r="BT64" s="230">
        <f>SUM(C64+P64+U64+V64+AA64+AD64+AF64+AN64+AP64+AR64+AW64+BB64+BD64+BE64+BH64+BK64+BL64+BN64+BO64)</f>
        <v>856730</v>
      </c>
      <c r="BU64" s="230">
        <f t="shared" si="8"/>
        <v>15534639</v>
      </c>
      <c r="BV64" s="230">
        <f t="shared" si="7"/>
        <v>12335001.923</v>
      </c>
      <c r="BW64" s="230">
        <f t="shared" si="4"/>
        <v>28726370.923</v>
      </c>
      <c r="BX64" s="230">
        <f t="shared" si="9"/>
        <v>1037333</v>
      </c>
      <c r="BY64" s="76"/>
      <c r="BZ64" s="230">
        <f t="shared" si="5"/>
        <v>29763703.923</v>
      </c>
      <c r="CA64" s="76"/>
      <c r="CB64" s="76"/>
    </row>
    <row r="65" spans="1:78" ht="12.75">
      <c r="A65" s="294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13"/>
      <c r="BT65" s="13"/>
      <c r="BU65" s="13"/>
      <c r="BV65" s="13"/>
      <c r="BW65" s="13"/>
      <c r="BX65" s="13"/>
      <c r="BY65" s="13"/>
      <c r="BZ65" s="13"/>
    </row>
    <row r="66" spans="1:78" ht="12.75">
      <c r="A66" s="100" t="s">
        <v>213</v>
      </c>
      <c r="BS66" s="13"/>
      <c r="BT66" s="13"/>
      <c r="BU66" s="13"/>
      <c r="BV66" s="13"/>
      <c r="BW66" s="13"/>
      <c r="BX66" s="13"/>
      <c r="BY66" s="13"/>
      <c r="BZ66" s="13"/>
    </row>
    <row r="67" spans="1:80" ht="12.75">
      <c r="A67" s="100" t="s">
        <v>214</v>
      </c>
      <c r="B67" s="10">
        <f>2*('3.2. Yfirlit'!B29-'3.2. Yfirlit'!B27-'3.2. Yfirlit'!B37)</f>
        <v>11556591.624</v>
      </c>
      <c r="C67" s="10">
        <f>2*('3.2. Yfirlit'!C29-'3.2. Yfirlit'!C27-'3.2. Yfirlit'!C37)</f>
        <v>4935640.32</v>
      </c>
      <c r="D67" s="10">
        <f>2*('3.2. Yfirlit'!D29-'3.2. Yfirlit'!D27-'3.2. Yfirlit'!D37)</f>
        <v>6110330.010000001</v>
      </c>
      <c r="E67" s="10">
        <f>2*('3.2. Yfirlit'!E29-'3.2. Yfirlit'!E27-'3.2. Yfirlit'!E37)</f>
        <v>4733402.746</v>
      </c>
      <c r="F67" s="10">
        <f>2*('3.2. Yfirlit'!F29-'3.2. Yfirlit'!F27-'3.2. Yfirlit'!F37)</f>
        <v>5192419.832</v>
      </c>
      <c r="G67" s="10">
        <f>2*('3.2. Yfirlit'!G29-'3.2. Yfirlit'!G27-'3.2. Yfirlit'!G37)</f>
        <v>2556075.82</v>
      </c>
      <c r="H67" s="10">
        <f>2*('3.2. Yfirlit'!H29-'3.2. Yfirlit'!H27-'3.2. Yfirlit'!H37)</f>
        <v>2383286.5700000003</v>
      </c>
      <c r="I67" s="10">
        <f>2*('3.2. Yfirlit'!I29-'3.2. Yfirlit'!I27-'3.2. Yfirlit'!I37)</f>
        <v>2984614.224</v>
      </c>
      <c r="J67" s="10">
        <f>2*('3.2. Yfirlit'!J29-'3.2. Yfirlit'!J27-'3.2. Yfirlit'!J37)</f>
        <v>2800149.646</v>
      </c>
      <c r="K67" s="10">
        <f>2*('3.2. Yfirlit'!K29-'3.2. Yfirlit'!K27-'3.2. Yfirlit'!K37)</f>
        <v>2125916.958</v>
      </c>
      <c r="L67" s="10">
        <f>2*('3.2. Yfirlit'!L29-'3.2. Yfirlit'!L27-'3.2. Yfirlit'!L37)</f>
        <v>1922970.3800000001</v>
      </c>
      <c r="M67" s="10">
        <f>2*('3.2. Yfirlit'!M29-'3.2. Yfirlit'!M27-'3.2. Yfirlit'!M37)</f>
        <v>1331436.872</v>
      </c>
      <c r="N67" s="10">
        <f>2*('3.2. Yfirlit'!N29-'3.2. Yfirlit'!N27-'3.2. Yfirlit'!N37)</f>
        <v>1396417.4359999998</v>
      </c>
      <c r="O67" s="10">
        <f>2*('3.2. Yfirlit'!O29-'3.2. Yfirlit'!O27-'3.2. Yfirlit'!O37)</f>
        <v>1244844.8199999998</v>
      </c>
      <c r="P67" s="10">
        <f>2*('3.2. Yfirlit'!P29-'3.2. Yfirlit'!P27-'3.2. Yfirlit'!P37)</f>
        <v>1008474.366</v>
      </c>
      <c r="Q67" s="10">
        <f>2*('3.2. Yfirlit'!Q29-'3.2. Yfirlit'!Q27-'3.2. Yfirlit'!Q37)</f>
        <v>1122345.26</v>
      </c>
      <c r="R67" s="10">
        <f>2*('3.2. Yfirlit'!R29-'3.2. Yfirlit'!R27-'3.2. Yfirlit'!R37)</f>
        <v>954671.074</v>
      </c>
      <c r="S67" s="10">
        <f>2*('3.2. Yfirlit'!S29-'3.2. Yfirlit'!S27-'3.2. Yfirlit'!S37)</f>
        <v>746448</v>
      </c>
      <c r="T67" s="10">
        <f>2*('3.2. Yfirlit'!T29-'3.2. Yfirlit'!T27-'3.2. Yfirlit'!T37)</f>
        <v>705054.7239999999</v>
      </c>
      <c r="U67" s="10">
        <f>2*('3.2. Yfirlit'!U29-'3.2. Yfirlit'!U27-'3.2. Yfirlit'!U37)</f>
        <v>292307.1</v>
      </c>
      <c r="V67" s="10">
        <f>2*('3.2. Yfirlit'!V29-'3.2. Yfirlit'!V27-'3.2. Yfirlit'!V37)</f>
        <v>643850.182</v>
      </c>
      <c r="W67" s="10">
        <f>2*('3.2. Yfirlit'!W29-'3.2. Yfirlit'!W27-'3.2. Yfirlit'!W37)</f>
        <v>752868.6740000001</v>
      </c>
      <c r="X67" s="10">
        <f>2*('3.2. Yfirlit'!X29-'3.2. Yfirlit'!X27-'3.2. Yfirlit'!X37)</f>
        <v>526227.334</v>
      </c>
      <c r="Y67" s="10">
        <f>2*('3.2. Yfirlit'!Y29-'3.2. Yfirlit'!Y27-'3.2. Yfirlit'!Y37)</f>
        <v>478006.834</v>
      </c>
      <c r="Z67" s="10">
        <f>2*('3.2. Yfirlit'!Z29-'3.2. Yfirlit'!Z27-'3.2. Yfirlit'!Z37)</f>
        <v>520431.6499999999</v>
      </c>
      <c r="AA67" s="10">
        <f>2*('3.2. Yfirlit'!AA29-'3.2. Yfirlit'!AA27-'3.2. Yfirlit'!AA37)</f>
        <v>318109.152</v>
      </c>
      <c r="AB67" s="10">
        <f>2*('3.2. Yfirlit'!AB29-'3.2. Yfirlit'!AB27-'3.2. Yfirlit'!AB37)</f>
        <v>459438.34599999996</v>
      </c>
      <c r="AC67" s="10">
        <f>2*('3.2. Yfirlit'!AC29-'3.2. Yfirlit'!AC27-'3.2. Yfirlit'!AC37)</f>
        <v>391144.728</v>
      </c>
      <c r="AD67" s="10">
        <f>2*('3.2. Yfirlit'!AD29-'3.2. Yfirlit'!AD27-'3.2. Yfirlit'!AD37)</f>
        <v>413986.78</v>
      </c>
      <c r="AE67" s="10">
        <f>2*('3.2. Yfirlit'!AE29-'3.2. Yfirlit'!AE27-'3.2. Yfirlit'!AE37)</f>
        <v>544443.7079999999</v>
      </c>
      <c r="AF67" s="10">
        <f>2*('3.2. Yfirlit'!AF29-'3.2. Yfirlit'!AF27-'3.2. Yfirlit'!AF37)</f>
        <v>285878.04600000003</v>
      </c>
      <c r="AG67" s="10">
        <f>2*('3.2. Yfirlit'!AG29-'3.2. Yfirlit'!AG27-'3.2. Yfirlit'!AG37)</f>
        <v>173357.558</v>
      </c>
      <c r="AH67" s="10">
        <f>2*('3.2. Yfirlit'!AH29-'3.2. Yfirlit'!AH27-'3.2. Yfirlit'!AH37)</f>
        <v>233927.22199999998</v>
      </c>
      <c r="AI67" s="10">
        <f>2*('3.2. Yfirlit'!AI29-'3.2. Yfirlit'!AI27-'3.2. Yfirlit'!AI37)</f>
        <v>257801.09599999996</v>
      </c>
      <c r="AJ67" s="10">
        <f>2*('3.2. Yfirlit'!AJ29-'3.2. Yfirlit'!AJ27-'3.2. Yfirlit'!AJ37)</f>
        <v>183085.794</v>
      </c>
      <c r="AK67" s="10">
        <f>2*('3.2. Yfirlit'!AK29-'3.2. Yfirlit'!AK27-'3.2. Yfirlit'!AK37)</f>
        <v>189140.592</v>
      </c>
      <c r="AL67" s="10">
        <f>2*('3.2. Yfirlit'!AL29-'3.2. Yfirlit'!AL27-'3.2. Yfirlit'!AL37)</f>
        <v>169149.422</v>
      </c>
      <c r="AM67" s="10">
        <f>2*('3.2. Yfirlit'!AM29-'3.2. Yfirlit'!AM27-'3.2. Yfirlit'!AM37)</f>
        <v>153715.49599999998</v>
      </c>
      <c r="AN67" s="10">
        <f>2*('3.2. Yfirlit'!AN29-'3.2. Yfirlit'!AN27-'3.2. Yfirlit'!AN37)</f>
        <v>193345.354</v>
      </c>
      <c r="AO67" s="10">
        <f>2*('3.2. Yfirlit'!AO29-'3.2. Yfirlit'!AO27-'3.2. Yfirlit'!AO37)</f>
        <v>126318.196</v>
      </c>
      <c r="AP67" s="10">
        <f>2*('3.2. Yfirlit'!AP29-'3.2. Yfirlit'!AP27-'3.2. Yfirlit'!AP37)</f>
        <v>127955.66400000002</v>
      </c>
      <c r="AQ67" s="10">
        <f>2*('3.2. Yfirlit'!AQ29-'3.2. Yfirlit'!AQ27-'3.2. Yfirlit'!AQ37)</f>
        <v>133861.136</v>
      </c>
      <c r="AR67" s="10">
        <f>2*('3.2. Yfirlit'!AR29-'3.2. Yfirlit'!AR27-'3.2. Yfirlit'!AR37)</f>
        <v>114530.064</v>
      </c>
      <c r="AS67" s="10">
        <f>2*('3.2. Yfirlit'!AS29-'3.2. Yfirlit'!AS27-'3.2. Yfirlit'!AS37)</f>
        <v>124344.104</v>
      </c>
      <c r="AT67" s="10">
        <f>2*('3.2. Yfirlit'!AT29-'3.2. Yfirlit'!AT27-'3.2. Yfirlit'!AT37)</f>
        <v>104816.952</v>
      </c>
      <c r="AU67" s="10">
        <f>2*('3.2. Yfirlit'!AU29-'3.2. Yfirlit'!AU27-'3.2. Yfirlit'!AU37)</f>
        <v>15518.094000000001</v>
      </c>
      <c r="AV67" s="10">
        <f>2*('3.2. Yfirlit'!AV29-'3.2. Yfirlit'!AV27-'3.2. Yfirlit'!AV37)</f>
        <v>110043.08</v>
      </c>
      <c r="AW67" s="10">
        <f>2*('3.2. Yfirlit'!AW29-'3.2. Yfirlit'!AW27-'3.2. Yfirlit'!AW37)</f>
        <v>91923.22200000001</v>
      </c>
      <c r="AX67" s="10">
        <f>2*('3.2. Yfirlit'!AX29-'3.2. Yfirlit'!AX27-'3.2. Yfirlit'!AX37)</f>
        <v>83404.912</v>
      </c>
      <c r="AY67" s="10">
        <f>2*('3.2. Yfirlit'!AY29-'3.2. Yfirlit'!AY27-'3.2. Yfirlit'!AY37)</f>
        <v>70442.592</v>
      </c>
      <c r="AZ67" s="10">
        <f>2*('3.2. Yfirlit'!AZ29-'3.2. Yfirlit'!AZ27-'3.2. Yfirlit'!AZ37)</f>
        <v>71196.376</v>
      </c>
      <c r="BA67" s="10">
        <f>2*('3.2. Yfirlit'!BA29-'3.2. Yfirlit'!BA27-'3.2. Yfirlit'!BA37)</f>
        <v>69131.90400000001</v>
      </c>
      <c r="BB67" s="10">
        <f>2*('3.2. Yfirlit'!BB29-'3.2. Yfirlit'!BB27-'3.2. Yfirlit'!BB37)</f>
        <v>50837.969999999994</v>
      </c>
      <c r="BC67" s="10">
        <f>2*('3.2. Yfirlit'!BC29-'3.2. Yfirlit'!BC27-'3.2. Yfirlit'!BC37)</f>
        <v>52206.236000000004</v>
      </c>
      <c r="BD67" s="10">
        <f>2*('3.2. Yfirlit'!BD29-'3.2. Yfirlit'!BD27-'3.2. Yfirlit'!BD37)</f>
        <v>36210.906</v>
      </c>
      <c r="BE67" s="10">
        <f>2*('3.2. Yfirlit'!BE29-'3.2. Yfirlit'!BE27-'3.2. Yfirlit'!BE37)</f>
        <v>21529.814000000002</v>
      </c>
      <c r="BF67" s="10">
        <f>2*('3.2. Yfirlit'!BF29-'3.2. Yfirlit'!BF27-'3.2. Yfirlit'!BF37)</f>
        <v>31414.212000000003</v>
      </c>
      <c r="BG67" s="10">
        <f>2*('3.2. Yfirlit'!BG29-'3.2. Yfirlit'!BG27-'3.2. Yfirlit'!BG37)</f>
        <v>15032.63</v>
      </c>
      <c r="BH67" s="10">
        <f>2*('3.2. Yfirlit'!BH29-'3.2. Yfirlit'!BH27-'3.2. Yfirlit'!BH37)</f>
        <v>21342.298</v>
      </c>
      <c r="BI67" s="10">
        <f>2*('3.2. Yfirlit'!BI29-'3.2. Yfirlit'!BI27-'3.2. Yfirlit'!BI37)</f>
        <v>17664.612</v>
      </c>
      <c r="BJ67" s="10">
        <f>2*('3.2. Yfirlit'!BJ29-'3.2. Yfirlit'!BJ27-'3.2. Yfirlit'!BJ37)</f>
        <v>16675.652</v>
      </c>
      <c r="BK67" s="10">
        <f>2*('3.2. Yfirlit'!BK29-'3.2. Yfirlit'!BK27-'3.2. Yfirlit'!BK37)</f>
        <v>20245.008</v>
      </c>
      <c r="BL67" s="10">
        <f>2*('3.2. Yfirlit'!BL29-'3.2. Yfirlit'!BL27-'3.2. Yfirlit'!BL37)</f>
        <v>4792</v>
      </c>
      <c r="BM67" s="10">
        <f>2*('3.2. Yfirlit'!BM29-'3.2. Yfirlit'!BM27-'3.2. Yfirlit'!BM37)</f>
        <v>2260.0860000000002</v>
      </c>
      <c r="BN67" s="10">
        <f>2*('3.2. Yfirlit'!BN29-'3.2. Yfirlit'!BN27-'3.2. Yfirlit'!BN37)</f>
        <v>3005.556</v>
      </c>
      <c r="BO67" s="10">
        <f>2*('3.2. Yfirlit'!BO29-'3.2. Yfirlit'!BO27-'3.2. Yfirlit'!BO37)</f>
        <v>262.516</v>
      </c>
      <c r="BP67" s="10"/>
      <c r="BQ67" s="10"/>
      <c r="BR67" s="10"/>
      <c r="BS67" s="10">
        <f>2*('3.2. Yfirlit'!BS29-'3.2. Yfirlit'!BS27-'3.2. Yfirlit'!BS37)</f>
        <v>64528271.542</v>
      </c>
      <c r="BT67" s="10">
        <f>2*('3.2. Yfirlit'!BT29-'3.2. Yfirlit'!BT27-'3.2. Yfirlit'!BT37)</f>
        <v>8584226.318</v>
      </c>
      <c r="BU67" s="10">
        <f>2*('3.2. Yfirlit'!BU29-'3.2. Yfirlit'!BU27-'3.2. Yfirlit'!BU37)</f>
        <v>24129109.144</v>
      </c>
      <c r="BV67" s="10">
        <f>2*('3.2. Yfirlit'!BV29-'3.2. Yfirlit'!BV27-'3.2. Yfirlit'!BV37)</f>
        <v>29387243.13</v>
      </c>
      <c r="BW67" s="10">
        <f>2*('3.2. Yfirlit'!BW29-'3.2. Yfirlit'!BW27-'3.2. Yfirlit'!BW37)</f>
        <v>62100578.592</v>
      </c>
      <c r="BX67" s="10">
        <f>2*('3.2. Yfirlit'!BX29-'3.2. Yfirlit'!BX27-'3.2. Yfirlit'!BX37)</f>
        <v>2427692.9499999997</v>
      </c>
      <c r="BY67" s="10"/>
      <c r="BZ67" s="10">
        <f>2*('3.2. Yfirlit'!BZ29-'3.2. Yfirlit'!BZ27-'3.2. Yfirlit'!BZ37)</f>
        <v>64528271.54199999</v>
      </c>
      <c r="CA67" s="76"/>
      <c r="CB67" s="76"/>
    </row>
    <row r="68" spans="1:80" ht="12.75">
      <c r="A68" s="294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13"/>
      <c r="BT68" s="13"/>
      <c r="BU68" s="13"/>
      <c r="BV68" s="13"/>
      <c r="BW68" s="13"/>
      <c r="BX68" s="13"/>
      <c r="BY68" s="13"/>
      <c r="BZ68" s="13"/>
      <c r="CA68" s="7"/>
      <c r="CB68" s="7"/>
    </row>
    <row r="69" spans="1:80" ht="12.75">
      <c r="A69" s="100" t="s">
        <v>215</v>
      </c>
      <c r="BS69" s="13"/>
      <c r="BT69" s="13"/>
      <c r="BU69" s="13"/>
      <c r="BV69" s="13"/>
      <c r="BW69" s="13"/>
      <c r="BX69" s="13"/>
      <c r="BY69" s="13"/>
      <c r="BZ69" s="13"/>
      <c r="CA69" s="76"/>
      <c r="CB69" s="76"/>
    </row>
    <row r="70" spans="1:80" ht="12.75">
      <c r="A70" s="100" t="s">
        <v>216</v>
      </c>
      <c r="B70" s="10">
        <f>('3.2. Yfirlit'!B60+'3.2. Yfirlit'!B63-('3.2. Yfirlit'!B29-'3.2. Yfirlit'!B27-'3.2. Yfirlit'!B37))</f>
        <v>93059294.854</v>
      </c>
      <c r="C70" s="10">
        <f>('3.2. Yfirlit'!C60+'3.2. Yfirlit'!C63-('3.2. Yfirlit'!C29-'3.2. Yfirlit'!C27-'3.2. Yfirlit'!C37))</f>
        <v>62660989.892000005</v>
      </c>
      <c r="D70" s="10">
        <f>('3.2. Yfirlit'!D60+'3.2. Yfirlit'!D63-('3.2. Yfirlit'!D29-'3.2. Yfirlit'!D27-'3.2. Yfirlit'!D37))</f>
        <v>59116795.831999995</v>
      </c>
      <c r="E70" s="10">
        <f>('3.2. Yfirlit'!E60+'3.2. Yfirlit'!E63-('3.2. Yfirlit'!E29-'3.2. Yfirlit'!E27-'3.2. Yfirlit'!E37))</f>
        <v>51530351.05499999</v>
      </c>
      <c r="F70" s="10">
        <f>('3.2. Yfirlit'!F60+'3.2. Yfirlit'!F63-('3.2. Yfirlit'!F29-'3.2. Yfirlit'!F27-'3.2. Yfirlit'!F37))</f>
        <v>49310208.945</v>
      </c>
      <c r="G70" s="10">
        <f>('3.2. Yfirlit'!G60+'3.2. Yfirlit'!G63-('3.2. Yfirlit'!G29-'3.2. Yfirlit'!G27-'3.2. Yfirlit'!G37))</f>
        <v>23479529.304</v>
      </c>
      <c r="H70" s="10">
        <f>('3.2. Yfirlit'!H60+'3.2. Yfirlit'!H63-('3.2. Yfirlit'!H29-'3.2. Yfirlit'!H27-'3.2. Yfirlit'!H37))</f>
        <v>22896605.375</v>
      </c>
      <c r="I70" s="10">
        <f>('3.2. Yfirlit'!I60+'3.2. Yfirlit'!I63-('3.2. Yfirlit'!I29-'3.2. Yfirlit'!I27-'3.2. Yfirlit'!I37))</f>
        <v>19271761.457</v>
      </c>
      <c r="J70" s="10">
        <f>('3.2. Yfirlit'!J60+'3.2. Yfirlit'!J63-('3.2. Yfirlit'!J29-'3.2. Yfirlit'!J27-'3.2. Yfirlit'!J37))</f>
        <v>17837375.768000003</v>
      </c>
      <c r="K70" s="10">
        <f>('3.2. Yfirlit'!K60+'3.2. Yfirlit'!K63-('3.2. Yfirlit'!K29-'3.2. Yfirlit'!K27-'3.2. Yfirlit'!K37))</f>
        <v>17250024.411000002</v>
      </c>
      <c r="L70" s="10">
        <f>('3.2. Yfirlit'!L60+'3.2. Yfirlit'!L63-('3.2. Yfirlit'!L29-'3.2. Yfirlit'!L27-'3.2. Yfirlit'!L37))</f>
        <v>16265714.681</v>
      </c>
      <c r="M70" s="10">
        <f>('3.2. Yfirlit'!M60+'3.2. Yfirlit'!M63-('3.2. Yfirlit'!M29-'3.2. Yfirlit'!M27-'3.2. Yfirlit'!M37))</f>
        <v>15752114.105999999</v>
      </c>
      <c r="N70" s="10">
        <f>('3.2. Yfirlit'!N60+'3.2. Yfirlit'!N63-('3.2. Yfirlit'!N29-'3.2. Yfirlit'!N27-'3.2. Yfirlit'!N37))</f>
        <v>13514132.711000001</v>
      </c>
      <c r="O70" s="10">
        <f>('3.2. Yfirlit'!O60+'3.2. Yfirlit'!O63-('3.2. Yfirlit'!O29-'3.2. Yfirlit'!O27-'3.2. Yfirlit'!O37))</f>
        <v>13015467.394</v>
      </c>
      <c r="P70" s="10">
        <f>('3.2. Yfirlit'!P60+'3.2. Yfirlit'!P63-('3.2. Yfirlit'!P29-'3.2. Yfirlit'!P27-'3.2. Yfirlit'!P37))</f>
        <v>13050916.561999999</v>
      </c>
      <c r="Q70" s="10">
        <f>('3.2. Yfirlit'!Q60+'3.2. Yfirlit'!Q63-('3.2. Yfirlit'!Q29-'3.2. Yfirlit'!Q27-'3.2. Yfirlit'!Q37))</f>
        <v>12547669.199</v>
      </c>
      <c r="R70" s="10">
        <f>('3.2. Yfirlit'!R60+'3.2. Yfirlit'!R63-('3.2. Yfirlit'!R29-'3.2. Yfirlit'!R27-'3.2. Yfirlit'!R37))</f>
        <v>10805365.465999998</v>
      </c>
      <c r="S70" s="10">
        <f>('3.2. Yfirlit'!S60+'3.2. Yfirlit'!S63-('3.2. Yfirlit'!S29-'3.2. Yfirlit'!S27-'3.2. Yfirlit'!S37))</f>
        <v>8972808</v>
      </c>
      <c r="T70" s="10">
        <f>('3.2. Yfirlit'!T60+'3.2. Yfirlit'!T63-('3.2. Yfirlit'!T29-'3.2. Yfirlit'!T27-'3.2. Yfirlit'!T37))</f>
        <v>8745467.886999998</v>
      </c>
      <c r="U70" s="10">
        <f>('3.2. Yfirlit'!U60+'3.2. Yfirlit'!U63-('3.2. Yfirlit'!U29-'3.2. Yfirlit'!U27-'3.2. Yfirlit'!U37))</f>
        <v>6548933.573</v>
      </c>
      <c r="V70" s="10">
        <f>('3.2. Yfirlit'!V60+'3.2. Yfirlit'!V63-('3.2. Yfirlit'!V29-'3.2. Yfirlit'!V27-'3.2. Yfirlit'!V37))</f>
        <v>7832275.659</v>
      </c>
      <c r="W70" s="10">
        <f>('3.2. Yfirlit'!W60+'3.2. Yfirlit'!W63-('3.2. Yfirlit'!W29-'3.2. Yfirlit'!W27-'3.2. Yfirlit'!W37))</f>
        <v>7400673.164999999</v>
      </c>
      <c r="X70" s="10">
        <f>('3.2. Yfirlit'!X60+'3.2. Yfirlit'!X63-('3.2. Yfirlit'!X29-'3.2. Yfirlit'!X27-'3.2. Yfirlit'!X37))</f>
        <v>6235591.802999999</v>
      </c>
      <c r="Y70" s="10">
        <f>('3.2. Yfirlit'!Y60+'3.2. Yfirlit'!Y63-('3.2. Yfirlit'!Y29-'3.2. Yfirlit'!Y27-'3.2. Yfirlit'!Y37))</f>
        <v>5456851.920999999</v>
      </c>
      <c r="Z70" s="10">
        <f>('3.2. Yfirlit'!Z60+'3.2. Yfirlit'!Z63-('3.2. Yfirlit'!Z29-'3.2. Yfirlit'!Z27-'3.2. Yfirlit'!Z37))</f>
        <v>5396708.219</v>
      </c>
      <c r="AA70" s="10">
        <f>('3.2. Yfirlit'!AA60+'3.2. Yfirlit'!AA63-('3.2. Yfirlit'!AA29-'3.2. Yfirlit'!AA27-'3.2. Yfirlit'!AA37))</f>
        <v>4497472.995</v>
      </c>
      <c r="AB70" s="10">
        <f>('3.2. Yfirlit'!AB60+'3.2. Yfirlit'!AB63-('3.2. Yfirlit'!AB29-'3.2. Yfirlit'!AB27-'3.2. Yfirlit'!AB37))</f>
        <v>4214471.714</v>
      </c>
      <c r="AC70" s="10">
        <f>('3.2. Yfirlit'!AC60+'3.2. Yfirlit'!AC63-('3.2. Yfirlit'!AC29-'3.2. Yfirlit'!AC27-'3.2. Yfirlit'!AC37))</f>
        <v>4219651.085</v>
      </c>
      <c r="AD70" s="10">
        <f>('3.2. Yfirlit'!AD60+'3.2. Yfirlit'!AD63-('3.2. Yfirlit'!AD29-'3.2. Yfirlit'!AD27-'3.2. Yfirlit'!AD37))</f>
        <v>3978150.1429999997</v>
      </c>
      <c r="AE70" s="10">
        <f>('3.2. Yfirlit'!AE60+'3.2. Yfirlit'!AE63-('3.2. Yfirlit'!AE29-'3.2. Yfirlit'!AE27-'3.2. Yfirlit'!AE37))</f>
        <v>3439599.207</v>
      </c>
      <c r="AF70" s="10">
        <f>('3.2. Yfirlit'!AF60+'3.2. Yfirlit'!AF63-('3.2. Yfirlit'!AF29-'3.2. Yfirlit'!AF27-'3.2. Yfirlit'!AF37))</f>
        <v>3527691.017</v>
      </c>
      <c r="AG70" s="10">
        <f>('3.2. Yfirlit'!AG60+'3.2. Yfirlit'!AG63-('3.2. Yfirlit'!AG29-'3.2. Yfirlit'!AG27-'3.2. Yfirlit'!AG37))</f>
        <v>2222718.614</v>
      </c>
      <c r="AH70" s="10">
        <f>('3.2. Yfirlit'!AH60+'3.2. Yfirlit'!AH63-('3.2. Yfirlit'!AH29-'3.2. Yfirlit'!AH27-'3.2. Yfirlit'!AH37))</f>
        <v>2826417.495</v>
      </c>
      <c r="AI70" s="10">
        <f>('3.2. Yfirlit'!AI60+'3.2. Yfirlit'!AI63-('3.2. Yfirlit'!AI29-'3.2. Yfirlit'!AI27-'3.2. Yfirlit'!AI37))</f>
        <v>2750245.752</v>
      </c>
      <c r="AJ70" s="10">
        <f>('3.2. Yfirlit'!AJ60+'3.2. Yfirlit'!AJ63-('3.2. Yfirlit'!AJ29-'3.2. Yfirlit'!AJ27-'3.2. Yfirlit'!AJ37))</f>
        <v>2302031.084</v>
      </c>
      <c r="AK70" s="10">
        <f>('3.2. Yfirlit'!AK60+'3.2. Yfirlit'!AK63-('3.2. Yfirlit'!AK29-'3.2. Yfirlit'!AK27-'3.2. Yfirlit'!AK37))</f>
        <v>2055162.548</v>
      </c>
      <c r="AL70" s="10">
        <f>('3.2. Yfirlit'!AL60+'3.2. Yfirlit'!AL63-('3.2. Yfirlit'!AL29-'3.2. Yfirlit'!AL27-'3.2. Yfirlit'!AL37))</f>
        <v>2018628.4239999999</v>
      </c>
      <c r="AM70" s="10">
        <f>('3.2. Yfirlit'!AM60+'3.2. Yfirlit'!AM63-('3.2. Yfirlit'!AM29-'3.2. Yfirlit'!AM27-'3.2. Yfirlit'!AM37))</f>
        <v>1792564.958</v>
      </c>
      <c r="AN70" s="10">
        <f>('3.2. Yfirlit'!AN60+'3.2. Yfirlit'!AN63-('3.2. Yfirlit'!AN29-'3.2. Yfirlit'!AN27-'3.2. Yfirlit'!AN37))</f>
        <v>1734385.807</v>
      </c>
      <c r="AO70" s="10">
        <f>('3.2. Yfirlit'!AO60+'3.2. Yfirlit'!AO63-('3.2. Yfirlit'!AO29-'3.2. Yfirlit'!AO27-'3.2. Yfirlit'!AO37))</f>
        <v>1305071.3920000002</v>
      </c>
      <c r="AP70" s="10">
        <f>('3.2. Yfirlit'!AP60+'3.2. Yfirlit'!AP63-('3.2. Yfirlit'!AP29-'3.2. Yfirlit'!AP27-'3.2. Yfirlit'!AP37))</f>
        <v>1498272.6430000002</v>
      </c>
      <c r="AQ70" s="10">
        <f>('3.2. Yfirlit'!AQ60+'3.2. Yfirlit'!AQ63-('3.2. Yfirlit'!AQ29-'3.2. Yfirlit'!AQ27-'3.2. Yfirlit'!AQ37))</f>
        <v>1434120.452</v>
      </c>
      <c r="AR70" s="10">
        <f>('3.2. Yfirlit'!AR60+'3.2. Yfirlit'!AR63-('3.2. Yfirlit'!AR29-'3.2. Yfirlit'!AR27-'3.2. Yfirlit'!AR37))</f>
        <v>1435546.0080000001</v>
      </c>
      <c r="AS70" s="10">
        <f>('3.2. Yfirlit'!AS60+'3.2. Yfirlit'!AS63-('3.2. Yfirlit'!AS29-'3.2. Yfirlit'!AS27-'3.2. Yfirlit'!AS37))</f>
        <v>1366055.68</v>
      </c>
      <c r="AT70" s="10">
        <f>('3.2. Yfirlit'!AT60+'3.2. Yfirlit'!AT63-('3.2. Yfirlit'!AT29-'3.2. Yfirlit'!AT27-'3.2. Yfirlit'!AT37))</f>
        <v>1363449.1909999999</v>
      </c>
      <c r="AU70" s="10">
        <f>('3.2. Yfirlit'!AU60+'3.2. Yfirlit'!AU63-('3.2. Yfirlit'!AU29-'3.2. Yfirlit'!AU27-'3.2. Yfirlit'!AU37))</f>
        <v>608152.3499999999</v>
      </c>
      <c r="AV70" s="10">
        <f>('3.2. Yfirlit'!AV60+'3.2. Yfirlit'!AV63-('3.2. Yfirlit'!AV29-'3.2. Yfirlit'!AV27-'3.2. Yfirlit'!AV37))</f>
        <v>1148416.924</v>
      </c>
      <c r="AW70" s="10">
        <f>('3.2. Yfirlit'!AW60+'3.2. Yfirlit'!AW63-('3.2. Yfirlit'!AW29-'3.2. Yfirlit'!AW27-'3.2. Yfirlit'!AW37))</f>
        <v>1124454.2459999998</v>
      </c>
      <c r="AX70" s="10">
        <f>('3.2. Yfirlit'!AX60+'3.2. Yfirlit'!AX63-('3.2. Yfirlit'!AX29-'3.2. Yfirlit'!AX27-'3.2. Yfirlit'!AX37))</f>
        <v>997860.104</v>
      </c>
      <c r="AY70" s="10">
        <f>('3.2. Yfirlit'!AY60+'3.2. Yfirlit'!AY63-('3.2. Yfirlit'!AY29-'3.2. Yfirlit'!AY27-'3.2. Yfirlit'!AY37))</f>
        <v>821341.4689999999</v>
      </c>
      <c r="AZ70" s="10">
        <f>('3.2. Yfirlit'!AZ60+'3.2. Yfirlit'!AZ63-('3.2. Yfirlit'!AZ29-'3.2. Yfirlit'!AZ27-'3.2. Yfirlit'!AZ37))</f>
        <v>743423.887</v>
      </c>
      <c r="BA70" s="10">
        <f>('3.2. Yfirlit'!BA60+'3.2. Yfirlit'!BA63-('3.2. Yfirlit'!BA29-'3.2. Yfirlit'!BA27-'3.2. Yfirlit'!BA37))</f>
        <v>710711.172</v>
      </c>
      <c r="BB70" s="10">
        <f>('3.2. Yfirlit'!BB60+'3.2. Yfirlit'!BB63-('3.2. Yfirlit'!BB29-'3.2. Yfirlit'!BB27-'3.2. Yfirlit'!BB37))</f>
        <v>640653.412</v>
      </c>
      <c r="BC70" s="10">
        <f>('3.2. Yfirlit'!BC60+'3.2. Yfirlit'!BC63-('3.2. Yfirlit'!BC29-'3.2. Yfirlit'!BC27-'3.2. Yfirlit'!BC37))</f>
        <v>556063.079</v>
      </c>
      <c r="BD70" s="10">
        <f>('3.2. Yfirlit'!BD60+'3.2. Yfirlit'!BD63-('3.2. Yfirlit'!BD29-'3.2. Yfirlit'!BD27-'3.2. Yfirlit'!BD37))</f>
        <v>428442.855</v>
      </c>
      <c r="BE70" s="10">
        <f>('3.2. Yfirlit'!BE60+'3.2. Yfirlit'!BE63-('3.2. Yfirlit'!BE29-'3.2. Yfirlit'!BE27-'3.2. Yfirlit'!BE37))</f>
        <v>343273.056</v>
      </c>
      <c r="BF70" s="10">
        <f>('3.2. Yfirlit'!BF60+'3.2. Yfirlit'!BF63-('3.2. Yfirlit'!BF29-'3.2. Yfirlit'!BF27-'3.2. Yfirlit'!BF37))</f>
        <v>319294.78500000003</v>
      </c>
      <c r="BG70" s="10">
        <f>('3.2. Yfirlit'!BG60+'3.2. Yfirlit'!BG63-('3.2. Yfirlit'!BG29-'3.2. Yfirlit'!BG27-'3.2. Yfirlit'!BG37))</f>
        <v>144192.109</v>
      </c>
      <c r="BH70" s="10">
        <f>('3.2. Yfirlit'!BH60+'3.2. Yfirlit'!BH63-('3.2. Yfirlit'!BH29-'3.2. Yfirlit'!BH27-'3.2. Yfirlit'!BH37))</f>
        <v>281797.12200000003</v>
      </c>
      <c r="BI70" s="10">
        <f>('3.2. Yfirlit'!BI60+'3.2. Yfirlit'!BI63-('3.2. Yfirlit'!BI29-'3.2. Yfirlit'!BI27-'3.2. Yfirlit'!BI37))</f>
        <v>220826.407</v>
      </c>
      <c r="BJ70" s="10">
        <f>('3.2. Yfirlit'!BJ60+'3.2. Yfirlit'!BJ63-('3.2. Yfirlit'!BJ29-'3.2. Yfirlit'!BJ27-'3.2. Yfirlit'!BJ37))</f>
        <v>208465.64899999998</v>
      </c>
      <c r="BK70" s="10">
        <f>('3.2. Yfirlit'!BK60+'3.2. Yfirlit'!BK63-('3.2. Yfirlit'!BK29-'3.2. Yfirlit'!BK27-'3.2. Yfirlit'!BK37))</f>
        <v>185424.287</v>
      </c>
      <c r="BL70" s="10">
        <f>('3.2. Yfirlit'!BL60+'3.2. Yfirlit'!BL63-('3.2. Yfirlit'!BL29-'3.2. Yfirlit'!BL27-'3.2. Yfirlit'!BL37))</f>
        <v>67682</v>
      </c>
      <c r="BM70" s="10">
        <f>('3.2. Yfirlit'!BM60+'3.2. Yfirlit'!BM63-('3.2. Yfirlit'!BM29-'3.2. Yfirlit'!BM27-'3.2. Yfirlit'!BM37))</f>
        <v>21476.240999999998</v>
      </c>
      <c r="BN70" s="10">
        <f>('3.2. Yfirlit'!BN60+'3.2. Yfirlit'!BN63-('3.2. Yfirlit'!BN29-'3.2. Yfirlit'!BN27-'3.2. Yfirlit'!BN37))</f>
        <v>-1502.4230000000002</v>
      </c>
      <c r="BO70" s="10">
        <f>('3.2. Yfirlit'!BO60+'3.2. Yfirlit'!BO63-('3.2. Yfirlit'!BO29-'3.2. Yfirlit'!BO27-'3.2. Yfirlit'!BO37))</f>
        <v>-131.2579999999975</v>
      </c>
      <c r="BP70" s="10"/>
      <c r="BQ70" s="10"/>
      <c r="BR70" s="10"/>
      <c r="BS70" s="10">
        <f>('3.2. Yfirlit'!BS60+'3.2. Yfirlit'!BS63-('3.2. Yfirlit'!BS29-'3.2. Yfirlit'!BS27-'3.2. Yfirlit'!BS37))</f>
        <v>627505650.9210001</v>
      </c>
      <c r="BT70" s="10">
        <f>('3.2. Yfirlit'!BT60+'3.2. Yfirlit'!BT63-('3.2. Yfirlit'!BT29-'3.2. Yfirlit'!BT27-'3.2. Yfirlit'!BT37))</f>
        <v>109834727.59600002</v>
      </c>
      <c r="BU70" s="10">
        <f>('3.2. Yfirlit'!BU60+'3.2. Yfirlit'!BU63-('3.2. Yfirlit'!BU29-'3.2. Yfirlit'!BU27-'3.2. Yfirlit'!BU37))</f>
        <v>229350386.86000004</v>
      </c>
      <c r="BV70" s="10">
        <f>('3.2. Yfirlit'!BV60+'3.2. Yfirlit'!BV63-('3.2. Yfirlit'!BV29-'3.2. Yfirlit'!BV27-'3.2. Yfirlit'!BV37))</f>
        <v>262454141.685</v>
      </c>
      <c r="BW70" s="10">
        <f>('3.2. Yfirlit'!BW60+'3.2. Yfirlit'!BW63-('3.2. Yfirlit'!BW29-'3.2. Yfirlit'!BW27-'3.2. Yfirlit'!BW37))</f>
        <v>601639256.141</v>
      </c>
      <c r="BX70" s="10">
        <f>('3.2. Yfirlit'!BX60+'3.2. Yfirlit'!BX63-('3.2. Yfirlit'!BX29-'3.2. Yfirlit'!BX27-'3.2. Yfirlit'!BX37))</f>
        <v>25866394.78</v>
      </c>
      <c r="BY70" s="10"/>
      <c r="BZ70" s="10">
        <f>('3.2. Yfirlit'!BZ60+'3.2. Yfirlit'!BZ63-('3.2. Yfirlit'!BZ29-'3.2. Yfirlit'!BZ27-'3.2. Yfirlit'!BZ37))</f>
        <v>627505650.921</v>
      </c>
      <c r="CA70" s="76"/>
      <c r="CB70" s="76"/>
    </row>
    <row r="71" spans="1:80" ht="12.75">
      <c r="A71" s="294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13"/>
      <c r="BT71" s="13"/>
      <c r="BU71" s="13"/>
      <c r="BV71" s="13"/>
      <c r="BW71" s="13"/>
      <c r="BX71" s="13"/>
      <c r="BY71" s="13"/>
      <c r="BZ71" s="13"/>
      <c r="CA71" s="8"/>
      <c r="CB71" s="8"/>
    </row>
    <row r="72" spans="1:80" ht="12.75">
      <c r="A72" s="127" t="s">
        <v>478</v>
      </c>
      <c r="B72" s="14">
        <f>B67/B70</f>
        <v>0.12418524814883936</v>
      </c>
      <c r="C72" s="14">
        <f aca="true" t="shared" si="21" ref="C72:BN72">C67/C70</f>
        <v>0.07876735315715366</v>
      </c>
      <c r="D72" s="14">
        <f t="shared" si="21"/>
        <v>0.10336030436027914</v>
      </c>
      <c r="E72" s="14">
        <f t="shared" si="21"/>
        <v>0.09185659808426083</v>
      </c>
      <c r="F72" s="14">
        <f t="shared" si="21"/>
        <v>0.10530111194198268</v>
      </c>
      <c r="G72" s="14">
        <f t="shared" si="21"/>
        <v>0.10886401455946323</v>
      </c>
      <c r="H72" s="14">
        <f t="shared" si="21"/>
        <v>0.10408907918735531</v>
      </c>
      <c r="I72" s="14">
        <f t="shared" si="21"/>
        <v>0.15486981979615108</v>
      </c>
      <c r="J72" s="14">
        <f t="shared" si="21"/>
        <v>0.1569821526675145</v>
      </c>
      <c r="K72" s="14">
        <f t="shared" si="21"/>
        <v>0.12324138837996916</v>
      </c>
      <c r="L72" s="14">
        <f t="shared" si="21"/>
        <v>0.11822231102124421</v>
      </c>
      <c r="M72" s="14">
        <f t="shared" si="21"/>
        <v>0.08452432880059281</v>
      </c>
      <c r="N72" s="14">
        <f t="shared" si="21"/>
        <v>0.10333015561282508</v>
      </c>
      <c r="O72" s="14">
        <f t="shared" si="21"/>
        <v>0.0956434972572603</v>
      </c>
      <c r="P72" s="14">
        <f t="shared" si="21"/>
        <v>0.07727230200339703</v>
      </c>
      <c r="Q72" s="14">
        <f t="shared" si="21"/>
        <v>0.08944651330857899</v>
      </c>
      <c r="R72" s="14">
        <f t="shared" si="21"/>
        <v>0.08835157653889207</v>
      </c>
      <c r="S72" s="14">
        <f t="shared" si="21"/>
        <v>0.08319001142117384</v>
      </c>
      <c r="T72" s="14">
        <f t="shared" si="21"/>
        <v>0.08061944004711889</v>
      </c>
      <c r="U72" s="14">
        <f t="shared" si="21"/>
        <v>0.04463430522568227</v>
      </c>
      <c r="V72" s="14">
        <f t="shared" si="21"/>
        <v>0.08220473972467471</v>
      </c>
      <c r="W72" s="14">
        <f t="shared" si="21"/>
        <v>0.10172975582282726</v>
      </c>
      <c r="X72" s="14">
        <f t="shared" si="21"/>
        <v>0.08439092080190806</v>
      </c>
      <c r="Y72" s="14">
        <f t="shared" si="21"/>
        <v>0.08759754541999785</v>
      </c>
      <c r="Z72" s="14">
        <f t="shared" si="21"/>
        <v>0.09643501721433348</v>
      </c>
      <c r="AA72" s="14">
        <f t="shared" si="21"/>
        <v>0.07073064193018017</v>
      </c>
      <c r="AB72" s="14">
        <f t="shared" si="21"/>
        <v>0.10901445713202858</v>
      </c>
      <c r="AC72" s="14">
        <f t="shared" si="21"/>
        <v>0.09269598839355221</v>
      </c>
      <c r="AD72" s="14">
        <f t="shared" si="21"/>
        <v>0.10406514714595579</v>
      </c>
      <c r="AE72" s="14">
        <f t="shared" si="21"/>
        <v>0.15828696171693235</v>
      </c>
      <c r="AF72" s="14">
        <f t="shared" si="21"/>
        <v>0.08103828952772482</v>
      </c>
      <c r="AG72" s="14">
        <f t="shared" si="21"/>
        <v>0.07799347920519101</v>
      </c>
      <c r="AH72" s="14">
        <f t="shared" si="21"/>
        <v>0.0827645676598814</v>
      </c>
      <c r="AI72" s="14">
        <f t="shared" si="21"/>
        <v>0.09373747630099057</v>
      </c>
      <c r="AJ72" s="14">
        <f t="shared" si="21"/>
        <v>0.07953228575952627</v>
      </c>
      <c r="AK72" s="14">
        <f t="shared" si="21"/>
        <v>0.09203193790392097</v>
      </c>
      <c r="AL72" s="14">
        <f t="shared" si="21"/>
        <v>0.08379423374254438</v>
      </c>
      <c r="AM72" s="14">
        <f t="shared" si="21"/>
        <v>0.08575170194752851</v>
      </c>
      <c r="AN72" s="14">
        <f t="shared" si="21"/>
        <v>0.11147770768167961</v>
      </c>
      <c r="AO72" s="14">
        <f t="shared" si="21"/>
        <v>0.09679025743290523</v>
      </c>
      <c r="AP72" s="14">
        <f t="shared" si="21"/>
        <v>0.0854021226362337</v>
      </c>
      <c r="AQ72" s="14">
        <f t="shared" si="21"/>
        <v>0.09334023220526527</v>
      </c>
      <c r="AR72" s="14">
        <f t="shared" si="21"/>
        <v>0.0797815349433231</v>
      </c>
      <c r="AS72" s="14">
        <f t="shared" si="21"/>
        <v>0.0910241843143612</v>
      </c>
      <c r="AT72" s="14">
        <f t="shared" si="21"/>
        <v>0.07687631683812413</v>
      </c>
      <c r="AU72" s="14">
        <f t="shared" si="21"/>
        <v>0.025516787035353896</v>
      </c>
      <c r="AV72" s="14">
        <f t="shared" si="21"/>
        <v>0.09582154155018356</v>
      </c>
      <c r="AW72" s="14">
        <f t="shared" si="21"/>
        <v>0.08174918839694614</v>
      </c>
      <c r="AX72" s="14">
        <f t="shared" si="21"/>
        <v>0.08358377258061014</v>
      </c>
      <c r="AY72" s="14">
        <f t="shared" si="21"/>
        <v>0.08576529331432066</v>
      </c>
      <c r="AZ72" s="14">
        <f t="shared" si="21"/>
        <v>0.09576821144031925</v>
      </c>
      <c r="BA72" s="14">
        <f t="shared" si="21"/>
        <v>0.09727144685999112</v>
      </c>
      <c r="BB72" s="14">
        <f t="shared" si="21"/>
        <v>0.07935331186529292</v>
      </c>
      <c r="BC72" s="14">
        <f t="shared" si="21"/>
        <v>0.09388545647354515</v>
      </c>
      <c r="BD72" s="14">
        <f t="shared" si="21"/>
        <v>0.0845174696634864</v>
      </c>
      <c r="BE72" s="14">
        <f t="shared" si="21"/>
        <v>0.06271920741719969</v>
      </c>
      <c r="BF72" s="14">
        <f t="shared" si="21"/>
        <v>0.09838623577895267</v>
      </c>
      <c r="BG72" s="14">
        <f t="shared" si="21"/>
        <v>0.10425417940173133</v>
      </c>
      <c r="BH72" s="14">
        <f t="shared" si="21"/>
        <v>0.07573639449731498</v>
      </c>
      <c r="BI72" s="14">
        <f t="shared" si="21"/>
        <v>0.07999320479819245</v>
      </c>
      <c r="BJ72" s="14">
        <f t="shared" si="21"/>
        <v>0.07999232525834508</v>
      </c>
      <c r="BK72" s="14">
        <f t="shared" si="21"/>
        <v>0.10918207278855548</v>
      </c>
      <c r="BL72" s="14">
        <f t="shared" si="21"/>
        <v>0.0708016902573801</v>
      </c>
      <c r="BM72" s="14">
        <f t="shared" si="21"/>
        <v>0.10523657282482538</v>
      </c>
      <c r="BN72" s="14">
        <f t="shared" si="21"/>
        <v>-2.0004725699752997</v>
      </c>
      <c r="BO72" s="14">
        <f>BO67/BO70</f>
        <v>-2.000000000000038</v>
      </c>
      <c r="BP72" s="14"/>
      <c r="BQ72" s="14"/>
      <c r="BR72" s="14"/>
      <c r="BS72" s="14">
        <f>BS67/BS70</f>
        <v>0.10283297281433373</v>
      </c>
      <c r="BT72" s="14">
        <f aca="true" t="shared" si="22" ref="BT72:BZ72">BT67/BT70</f>
        <v>0.0781558483904559</v>
      </c>
      <c r="BU72" s="14">
        <f t="shared" si="22"/>
        <v>0.1052063154300624</v>
      </c>
      <c r="BV72" s="14">
        <f t="shared" si="22"/>
        <v>0.11197096354177886</v>
      </c>
      <c r="BW72" s="14">
        <f t="shared" si="22"/>
        <v>0.10321896046199174</v>
      </c>
      <c r="BX72" s="14">
        <f t="shared" si="22"/>
        <v>0.09385509541040105</v>
      </c>
      <c r="BY72" s="14"/>
      <c r="BZ72" s="14">
        <f t="shared" si="22"/>
        <v>0.10283297281433373</v>
      </c>
      <c r="CA72" s="8"/>
      <c r="CB72" s="8"/>
    </row>
    <row r="73" spans="1:80" ht="12.75">
      <c r="A73" s="127" t="s">
        <v>458</v>
      </c>
      <c r="B73" s="14">
        <v>0.0202</v>
      </c>
      <c r="C73" s="14">
        <v>0.0202</v>
      </c>
      <c r="D73" s="14">
        <v>0.0202</v>
      </c>
      <c r="E73" s="14">
        <v>0.0202</v>
      </c>
      <c r="F73" s="14">
        <v>0.0202</v>
      </c>
      <c r="G73" s="14">
        <v>0.0202</v>
      </c>
      <c r="H73" s="14">
        <v>0.0202</v>
      </c>
      <c r="I73" s="14">
        <v>0.0202</v>
      </c>
      <c r="J73" s="14">
        <v>0.0202</v>
      </c>
      <c r="K73" s="14">
        <v>0.0202</v>
      </c>
      <c r="L73" s="14">
        <v>0.0202</v>
      </c>
      <c r="M73" s="14">
        <v>0.0202</v>
      </c>
      <c r="N73" s="14">
        <v>0.0202</v>
      </c>
      <c r="O73" s="14">
        <v>0.0202</v>
      </c>
      <c r="P73" s="14">
        <v>0.0202</v>
      </c>
      <c r="Q73" s="14">
        <v>0.0202</v>
      </c>
      <c r="R73" s="14">
        <v>0.0202</v>
      </c>
      <c r="S73" s="14">
        <v>0.0202</v>
      </c>
      <c r="T73" s="14">
        <v>0.0202</v>
      </c>
      <c r="U73" s="14">
        <v>0.0202</v>
      </c>
      <c r="V73" s="14">
        <v>0.0202</v>
      </c>
      <c r="W73" s="14">
        <v>0.0202</v>
      </c>
      <c r="X73" s="14">
        <v>0.0202</v>
      </c>
      <c r="Y73" s="14">
        <v>0.0202</v>
      </c>
      <c r="Z73" s="14">
        <v>0.0202</v>
      </c>
      <c r="AA73" s="14">
        <v>0.0202</v>
      </c>
      <c r="AB73" s="14">
        <v>0.0202</v>
      </c>
      <c r="AC73" s="14">
        <v>0.0202</v>
      </c>
      <c r="AD73" s="14">
        <v>0.0202</v>
      </c>
      <c r="AE73" s="14">
        <v>0.0202</v>
      </c>
      <c r="AF73" s="14">
        <v>0.0202</v>
      </c>
      <c r="AG73" s="14">
        <v>0.0202</v>
      </c>
      <c r="AH73" s="14">
        <v>0.0202</v>
      </c>
      <c r="AI73" s="14">
        <v>0.0202</v>
      </c>
      <c r="AJ73" s="14">
        <v>0.0202</v>
      </c>
      <c r="AK73" s="14">
        <v>0.0202</v>
      </c>
      <c r="AL73" s="14">
        <v>0.0202</v>
      </c>
      <c r="AM73" s="14">
        <v>0.0202</v>
      </c>
      <c r="AN73" s="14">
        <v>0.0202</v>
      </c>
      <c r="AO73" s="14">
        <v>0.0202</v>
      </c>
      <c r="AP73" s="14">
        <v>0.0202</v>
      </c>
      <c r="AQ73" s="14">
        <v>0.0202</v>
      </c>
      <c r="AR73" s="14">
        <v>0.0202</v>
      </c>
      <c r="AS73" s="14">
        <v>0.0202</v>
      </c>
      <c r="AT73" s="14">
        <v>0.0202</v>
      </c>
      <c r="AU73" s="14">
        <v>0.0202</v>
      </c>
      <c r="AV73" s="14">
        <v>0.0202</v>
      </c>
      <c r="AW73" s="14">
        <v>0.0202</v>
      </c>
      <c r="AX73" s="14">
        <v>0.0202</v>
      </c>
      <c r="AY73" s="14">
        <v>0.0202</v>
      </c>
      <c r="AZ73" s="14">
        <v>0.0202</v>
      </c>
      <c r="BA73" s="14">
        <v>0.0202</v>
      </c>
      <c r="BB73" s="14">
        <v>0.0202</v>
      </c>
      <c r="BC73" s="14">
        <v>0.0202</v>
      </c>
      <c r="BD73" s="14">
        <v>0.0202</v>
      </c>
      <c r="BE73" s="14">
        <v>0.0202</v>
      </c>
      <c r="BF73" s="14">
        <v>0.0202</v>
      </c>
      <c r="BG73" s="14">
        <v>0.0202</v>
      </c>
      <c r="BH73" s="14">
        <v>0.0202</v>
      </c>
      <c r="BI73" s="14">
        <v>0.0202</v>
      </c>
      <c r="BJ73" s="14">
        <v>0.0202</v>
      </c>
      <c r="BK73" s="14">
        <v>0.0202</v>
      </c>
      <c r="BL73" s="14">
        <v>0.0202</v>
      </c>
      <c r="BM73" s="14">
        <v>0.0202</v>
      </c>
      <c r="BN73" s="14">
        <v>0.0202</v>
      </c>
      <c r="BO73" s="14">
        <v>0.0202</v>
      </c>
      <c r="BP73" s="14"/>
      <c r="BQ73" s="14"/>
      <c r="BR73" s="14"/>
      <c r="BS73" s="14">
        <v>0.0202</v>
      </c>
      <c r="BT73" s="14">
        <v>0.0202</v>
      </c>
      <c r="BU73" s="14">
        <v>0.0202</v>
      </c>
      <c r="BV73" s="14">
        <v>0.0202</v>
      </c>
      <c r="BW73" s="14">
        <v>0.0202</v>
      </c>
      <c r="BX73" s="14">
        <v>0.0202</v>
      </c>
      <c r="BY73" s="14"/>
      <c r="BZ73" s="14">
        <v>0.0202</v>
      </c>
      <c r="CA73" s="9"/>
      <c r="CB73" s="9"/>
    </row>
    <row r="74" spans="1:78" ht="12">
      <c r="A74" s="308"/>
      <c r="BS74" s="291"/>
      <c r="BT74" s="291"/>
      <c r="BU74" s="291"/>
      <c r="BV74" s="291"/>
      <c r="BW74" s="291"/>
      <c r="BX74" s="291"/>
      <c r="BY74" s="291"/>
      <c r="BZ74" s="291"/>
    </row>
    <row r="75" spans="1:78" ht="12.75">
      <c r="A75" s="100" t="s">
        <v>213</v>
      </c>
      <c r="BS75" s="291"/>
      <c r="BT75" s="291"/>
      <c r="BU75" s="291"/>
      <c r="BV75" s="291"/>
      <c r="BW75" s="291"/>
      <c r="BX75" s="291"/>
      <c r="BY75" s="291"/>
      <c r="BZ75" s="291"/>
    </row>
    <row r="76" spans="1:80" ht="12.75">
      <c r="A76" s="100" t="s">
        <v>217</v>
      </c>
      <c r="B76" s="10">
        <f>2*('3.2. Yfirlit'!B29-'3.2. Yfirlit'!B27-'3.2. Yfirlit'!B37-('3.2. Yfirlit'!B43+'3.2. Yfirlit'!B47-'3.2. Yfirlit'!B45))</f>
        <v>11520048.972</v>
      </c>
      <c r="C76" s="10">
        <f>2*('3.2. Yfirlit'!C29-'3.2. Yfirlit'!C27-'3.2. Yfirlit'!C37-('3.2. Yfirlit'!C43+'3.2. Yfirlit'!C47-'3.2. Yfirlit'!C45))</f>
        <v>4814986.076</v>
      </c>
      <c r="D76" s="10">
        <f>2*('3.2. Yfirlit'!D29-'3.2. Yfirlit'!D27-'3.2. Yfirlit'!D37-('3.2. Yfirlit'!D43+'3.2. Yfirlit'!D47-'3.2. Yfirlit'!D45))</f>
        <v>6040558.016000001</v>
      </c>
      <c r="E76" s="10">
        <f>2*('3.2. Yfirlit'!E29-'3.2. Yfirlit'!E27-'3.2. Yfirlit'!E37-('3.2. Yfirlit'!E43+'3.2. Yfirlit'!E47-'3.2. Yfirlit'!E45))</f>
        <v>4673409.744</v>
      </c>
      <c r="F76" s="10">
        <f>2*('3.2. Yfirlit'!F29-'3.2. Yfirlit'!F27-'3.2. Yfirlit'!F37-('3.2. Yfirlit'!F43+'3.2. Yfirlit'!F47-'3.2. Yfirlit'!F45))</f>
        <v>5132095.0540000005</v>
      </c>
      <c r="G76" s="10">
        <f>2*('3.2. Yfirlit'!G29-'3.2. Yfirlit'!G27-'3.2. Yfirlit'!G37-('3.2. Yfirlit'!G43+'3.2. Yfirlit'!G47-'3.2. Yfirlit'!G45))</f>
        <v>2525820.69</v>
      </c>
      <c r="H76" s="10">
        <f>2*('3.2. Yfirlit'!H29-'3.2. Yfirlit'!H27-'3.2. Yfirlit'!H37-('3.2. Yfirlit'!H43+'3.2. Yfirlit'!H47-'3.2. Yfirlit'!H45))</f>
        <v>2366115.6240000003</v>
      </c>
      <c r="I76" s="10">
        <f>2*('3.2. Yfirlit'!I29-'3.2. Yfirlit'!I27-'3.2. Yfirlit'!I37-('3.2. Yfirlit'!I43+'3.2. Yfirlit'!I47-'3.2. Yfirlit'!I45))</f>
        <v>2939174.236</v>
      </c>
      <c r="J76" s="10">
        <f>2*('3.2. Yfirlit'!J29-'3.2. Yfirlit'!J27-'3.2. Yfirlit'!J37-('3.2. Yfirlit'!J43+'3.2. Yfirlit'!J47-'3.2. Yfirlit'!J45))</f>
        <v>2743939.174</v>
      </c>
      <c r="K76" s="10">
        <f>2*('3.2. Yfirlit'!K29-'3.2. Yfirlit'!K27-'3.2. Yfirlit'!K37-('3.2. Yfirlit'!K43+'3.2. Yfirlit'!K47-'3.2. Yfirlit'!K45))</f>
        <v>2080932.7380000001</v>
      </c>
      <c r="L76" s="10">
        <f>2*('3.2. Yfirlit'!L29-'3.2. Yfirlit'!L27-'3.2. Yfirlit'!L37-('3.2. Yfirlit'!L43+'3.2. Yfirlit'!L47-'3.2. Yfirlit'!L45))</f>
        <v>1885331.4340000001</v>
      </c>
      <c r="M76" s="10">
        <f>2*('3.2. Yfirlit'!M29-'3.2. Yfirlit'!M27-'3.2. Yfirlit'!M37-('3.2. Yfirlit'!M43+'3.2. Yfirlit'!M47-'3.2. Yfirlit'!M45))</f>
        <v>1279484.118</v>
      </c>
      <c r="N76" s="10">
        <f>2*('3.2. Yfirlit'!N29-'3.2. Yfirlit'!N27-'3.2. Yfirlit'!N37-('3.2. Yfirlit'!N43+'3.2. Yfirlit'!N47-'3.2. Yfirlit'!N45))</f>
        <v>1380648.8319999997</v>
      </c>
      <c r="O76" s="10">
        <f>2*('3.2. Yfirlit'!O29-'3.2. Yfirlit'!O27-'3.2. Yfirlit'!O37-('3.2. Yfirlit'!O43+'3.2. Yfirlit'!O47-'3.2. Yfirlit'!O45))</f>
        <v>1230030.2839999998</v>
      </c>
      <c r="P76" s="10">
        <f>2*('3.2. Yfirlit'!P29-'3.2. Yfirlit'!P27-'3.2. Yfirlit'!P37-('3.2. Yfirlit'!P43+'3.2. Yfirlit'!P47-'3.2. Yfirlit'!P45))</f>
        <v>979333.23</v>
      </c>
      <c r="Q76" s="10">
        <f>2*('3.2. Yfirlit'!Q29-'3.2. Yfirlit'!Q27-'3.2. Yfirlit'!Q37-('3.2. Yfirlit'!Q43+'3.2. Yfirlit'!Q47-'3.2. Yfirlit'!Q45))</f>
        <v>1091381.808</v>
      </c>
      <c r="R76" s="10">
        <f>2*('3.2. Yfirlit'!R29-'3.2. Yfirlit'!R27-'3.2. Yfirlit'!R37-('3.2. Yfirlit'!R43+'3.2. Yfirlit'!R47-'3.2. Yfirlit'!R45))</f>
        <v>938346.42</v>
      </c>
      <c r="S76" s="10">
        <f>2*('3.2. Yfirlit'!S29-'3.2. Yfirlit'!S27-'3.2. Yfirlit'!S37-('3.2. Yfirlit'!S43+'3.2. Yfirlit'!S47-'3.2. Yfirlit'!S45))</f>
        <v>729748</v>
      </c>
      <c r="T76" s="10">
        <f>2*('3.2. Yfirlit'!T29-'3.2. Yfirlit'!T27-'3.2. Yfirlit'!T37-('3.2. Yfirlit'!T43+'3.2. Yfirlit'!T47-'3.2. Yfirlit'!T45))</f>
        <v>707167.0399999999</v>
      </c>
      <c r="U76" s="10">
        <f>2*('3.2. Yfirlit'!U29-'3.2. Yfirlit'!U27-'3.2. Yfirlit'!U37-('3.2. Yfirlit'!U43+'3.2. Yfirlit'!U47-'3.2. Yfirlit'!U45))</f>
        <v>298024.622</v>
      </c>
      <c r="V76" s="10">
        <f>2*('3.2. Yfirlit'!V29-'3.2. Yfirlit'!V27-'3.2. Yfirlit'!V37-('3.2. Yfirlit'!V43+'3.2. Yfirlit'!V47-'3.2. Yfirlit'!V45))</f>
        <v>632811.778</v>
      </c>
      <c r="W76" s="10">
        <f>2*('3.2. Yfirlit'!W29-'3.2. Yfirlit'!W27-'3.2. Yfirlit'!W37-('3.2. Yfirlit'!W43+'3.2. Yfirlit'!W47-'3.2. Yfirlit'!W45))</f>
        <v>745882.7460000002</v>
      </c>
      <c r="X76" s="10">
        <f>2*('3.2. Yfirlit'!X29-'3.2. Yfirlit'!X27-'3.2. Yfirlit'!X37-('3.2. Yfirlit'!X43+'3.2. Yfirlit'!X47-'3.2. Yfirlit'!X45))</f>
        <v>501302.00600000005</v>
      </c>
      <c r="Y76" s="10">
        <f>2*('3.2. Yfirlit'!Y29-'3.2. Yfirlit'!Y27-'3.2. Yfirlit'!Y37-('3.2. Yfirlit'!Y43+'3.2. Yfirlit'!Y47-'3.2. Yfirlit'!Y45))</f>
        <v>453973.99799999996</v>
      </c>
      <c r="Z76" s="10">
        <f>2*('3.2. Yfirlit'!Z29-'3.2. Yfirlit'!Z27-'3.2. Yfirlit'!Z37-('3.2. Yfirlit'!Z43+'3.2. Yfirlit'!Z47-'3.2. Yfirlit'!Z45))</f>
        <v>512566.7639999999</v>
      </c>
      <c r="AA76" s="10">
        <f>2*('3.2. Yfirlit'!AA29-'3.2. Yfirlit'!AA27-'3.2. Yfirlit'!AA37-('3.2. Yfirlit'!AA43+'3.2. Yfirlit'!AA47-'3.2. Yfirlit'!AA45))</f>
        <v>295979.752</v>
      </c>
      <c r="AB76" s="10">
        <f>2*('3.2. Yfirlit'!AB29-'3.2. Yfirlit'!AB27-'3.2. Yfirlit'!AB37-('3.2. Yfirlit'!AB43+'3.2. Yfirlit'!AB47-'3.2. Yfirlit'!AB45))</f>
        <v>443160.92199999996</v>
      </c>
      <c r="AC76" s="10">
        <f>2*('3.2. Yfirlit'!AC29-'3.2. Yfirlit'!AC27-'3.2. Yfirlit'!AC37-('3.2. Yfirlit'!AC43+'3.2. Yfirlit'!AC47-'3.2. Yfirlit'!AC45))</f>
        <v>388345.988</v>
      </c>
      <c r="AD76" s="10">
        <f>2*('3.2. Yfirlit'!AD29-'3.2. Yfirlit'!AD27-'3.2. Yfirlit'!AD37-('3.2. Yfirlit'!AD43+'3.2. Yfirlit'!AD47-'3.2. Yfirlit'!AD45))</f>
        <v>409453.36600000004</v>
      </c>
      <c r="AE76" s="10">
        <f>2*('3.2. Yfirlit'!AE29-'3.2. Yfirlit'!AE27-'3.2. Yfirlit'!AE37-('3.2. Yfirlit'!AE43+'3.2. Yfirlit'!AE47-'3.2. Yfirlit'!AE45))</f>
        <v>541899.9779999999</v>
      </c>
      <c r="AF76" s="10">
        <f>2*('3.2. Yfirlit'!AF29-'3.2. Yfirlit'!AF27-'3.2. Yfirlit'!AF37-('3.2. Yfirlit'!AF43+'3.2. Yfirlit'!AF47-'3.2. Yfirlit'!AF45))</f>
        <v>283504.93000000005</v>
      </c>
      <c r="AG76" s="10">
        <f>2*('3.2. Yfirlit'!AG29-'3.2. Yfirlit'!AG27-'3.2. Yfirlit'!AG37-('3.2. Yfirlit'!AG43+'3.2. Yfirlit'!AG47-'3.2. Yfirlit'!AG45))</f>
        <v>155774.468</v>
      </c>
      <c r="AH76" s="10">
        <f>2*('3.2. Yfirlit'!AH29-'3.2. Yfirlit'!AH27-'3.2. Yfirlit'!AH37-('3.2. Yfirlit'!AH43+'3.2. Yfirlit'!AH47-'3.2. Yfirlit'!AH45))</f>
        <v>229638.444</v>
      </c>
      <c r="AI76" s="10">
        <f>2*('3.2. Yfirlit'!AI29-'3.2. Yfirlit'!AI27-'3.2. Yfirlit'!AI37-('3.2. Yfirlit'!AI43+'3.2. Yfirlit'!AI47-'3.2. Yfirlit'!AI45))</f>
        <v>251025.78199999995</v>
      </c>
      <c r="AJ76" s="10">
        <f>2*('3.2. Yfirlit'!AJ29-'3.2. Yfirlit'!AJ27-'3.2. Yfirlit'!AJ37-('3.2. Yfirlit'!AJ43+'3.2. Yfirlit'!AJ47-'3.2. Yfirlit'!AJ45))</f>
        <v>171421.08</v>
      </c>
      <c r="AK76" s="10">
        <f>2*('3.2. Yfirlit'!AK29-'3.2. Yfirlit'!AK27-'3.2. Yfirlit'!AK37-('3.2. Yfirlit'!AK43+'3.2. Yfirlit'!AK47-'3.2. Yfirlit'!AK45))</f>
        <v>186609.652</v>
      </c>
      <c r="AL76" s="10">
        <f>2*('3.2. Yfirlit'!AL29-'3.2. Yfirlit'!AL27-'3.2. Yfirlit'!AL37-('3.2. Yfirlit'!AL43+'3.2. Yfirlit'!AL47-'3.2. Yfirlit'!AL45))</f>
        <v>167007.422</v>
      </c>
      <c r="AM76" s="10">
        <f>2*('3.2. Yfirlit'!AM29-'3.2. Yfirlit'!AM27-'3.2. Yfirlit'!AM37-('3.2. Yfirlit'!AM43+'3.2. Yfirlit'!AM47-'3.2. Yfirlit'!AM45))</f>
        <v>148181.71399999998</v>
      </c>
      <c r="AN76" s="10">
        <f>2*('3.2. Yfirlit'!AN29-'3.2. Yfirlit'!AN27-'3.2. Yfirlit'!AN37-('3.2. Yfirlit'!AN43+'3.2. Yfirlit'!AN47-'3.2. Yfirlit'!AN45))</f>
        <v>190905.704</v>
      </c>
      <c r="AO76" s="10">
        <f>2*('3.2. Yfirlit'!AO29-'3.2. Yfirlit'!AO27-'3.2. Yfirlit'!AO37-('3.2. Yfirlit'!AO43+'3.2. Yfirlit'!AO47-'3.2. Yfirlit'!AO45))</f>
        <v>120252.462</v>
      </c>
      <c r="AP76" s="10">
        <f>2*('3.2. Yfirlit'!AP29-'3.2. Yfirlit'!AP27-'3.2. Yfirlit'!AP37-('3.2. Yfirlit'!AP43+'3.2. Yfirlit'!AP47-'3.2. Yfirlit'!AP45))</f>
        <v>122520.70400000001</v>
      </c>
      <c r="AQ76" s="10">
        <f>2*('3.2. Yfirlit'!AQ29-'3.2. Yfirlit'!AQ27-'3.2. Yfirlit'!AQ37-('3.2. Yfirlit'!AQ43+'3.2. Yfirlit'!AQ47-'3.2. Yfirlit'!AQ45))</f>
        <v>128188.238</v>
      </c>
      <c r="AR76" s="10">
        <f>2*('3.2. Yfirlit'!AR29-'3.2. Yfirlit'!AR27-'3.2. Yfirlit'!AR37-('3.2. Yfirlit'!AR43+'3.2. Yfirlit'!AR47-'3.2. Yfirlit'!AR45))</f>
        <v>107140.202</v>
      </c>
      <c r="AS76" s="10">
        <f>2*('3.2. Yfirlit'!AS29-'3.2. Yfirlit'!AS27-'3.2. Yfirlit'!AS37-('3.2. Yfirlit'!AS43+'3.2. Yfirlit'!AS47-'3.2. Yfirlit'!AS45))</f>
        <v>122547.888</v>
      </c>
      <c r="AT76" s="10">
        <f>2*('3.2. Yfirlit'!AT29-'3.2. Yfirlit'!AT27-'3.2. Yfirlit'!AT37-('3.2. Yfirlit'!AT43+'3.2. Yfirlit'!AT47-'3.2. Yfirlit'!AT45))</f>
        <v>100658.838</v>
      </c>
      <c r="AU76" s="10">
        <f>2*('3.2. Yfirlit'!AU29-'3.2. Yfirlit'!AU27-'3.2. Yfirlit'!AU37-('3.2. Yfirlit'!AU43+'3.2. Yfirlit'!AU47-'3.2. Yfirlit'!AU45))</f>
        <v>-2325.905999999999</v>
      </c>
      <c r="AV76" s="10">
        <f>2*('3.2. Yfirlit'!AV29-'3.2. Yfirlit'!AV27-'3.2. Yfirlit'!AV37-('3.2. Yfirlit'!AV43+'3.2. Yfirlit'!AV47-'3.2. Yfirlit'!AV45))</f>
        <v>104748.356</v>
      </c>
      <c r="AW76" s="10">
        <f>2*('3.2. Yfirlit'!AW29-'3.2. Yfirlit'!AW27-'3.2. Yfirlit'!AW37-('3.2. Yfirlit'!AW43+'3.2. Yfirlit'!AW47-'3.2. Yfirlit'!AW45))</f>
        <v>90566.71</v>
      </c>
      <c r="AX76" s="10">
        <f>2*('3.2. Yfirlit'!AX29-'3.2. Yfirlit'!AX27-'3.2. Yfirlit'!AX37-('3.2. Yfirlit'!AX43+'3.2. Yfirlit'!AX47-'3.2. Yfirlit'!AX45))</f>
        <v>81652.824</v>
      </c>
      <c r="AY76" s="10">
        <f>2*('3.2. Yfirlit'!AY29-'3.2. Yfirlit'!AY27-'3.2. Yfirlit'!AY37-('3.2. Yfirlit'!AY43+'3.2. Yfirlit'!AY47-'3.2. Yfirlit'!AY45))</f>
        <v>63172.508</v>
      </c>
      <c r="AZ76" s="10">
        <f>2*('3.2. Yfirlit'!AZ29-'3.2. Yfirlit'!AZ27-'3.2. Yfirlit'!AZ37-('3.2. Yfirlit'!AZ43+'3.2. Yfirlit'!AZ47-'3.2. Yfirlit'!AZ45))</f>
        <v>70386.32400000001</v>
      </c>
      <c r="BA76" s="10">
        <f>2*('3.2. Yfirlit'!BA29-'3.2. Yfirlit'!BA27-'3.2. Yfirlit'!BA37-('3.2. Yfirlit'!BA43+'3.2. Yfirlit'!BA47-'3.2. Yfirlit'!BA45))</f>
        <v>68502.00600000001</v>
      </c>
      <c r="BB76" s="10">
        <f>2*('3.2. Yfirlit'!BB29-'3.2. Yfirlit'!BB27-'3.2. Yfirlit'!BB37-('3.2. Yfirlit'!BB43+'3.2. Yfirlit'!BB47-'3.2. Yfirlit'!BB45))</f>
        <v>47815.42999999999</v>
      </c>
      <c r="BC76" s="10">
        <f>2*('3.2. Yfirlit'!BC29-'3.2. Yfirlit'!BC27-'3.2. Yfirlit'!BC37-('3.2. Yfirlit'!BC43+'3.2. Yfirlit'!BC47-'3.2. Yfirlit'!BC45))</f>
        <v>49985.04000000001</v>
      </c>
      <c r="BD76" s="10">
        <f>2*('3.2. Yfirlit'!BD29-'3.2. Yfirlit'!BD27-'3.2. Yfirlit'!BD37-('3.2. Yfirlit'!BD43+'3.2. Yfirlit'!BD47-'3.2. Yfirlit'!BD45))</f>
        <v>33255.55</v>
      </c>
      <c r="BE76" s="10">
        <f>2*('3.2. Yfirlit'!BE29-'3.2. Yfirlit'!BE27-'3.2. Yfirlit'!BE37-('3.2. Yfirlit'!BE43+'3.2. Yfirlit'!BE47-'3.2. Yfirlit'!BE45))</f>
        <v>18649.898</v>
      </c>
      <c r="BF76" s="10">
        <f>2*('3.2. Yfirlit'!BF29-'3.2. Yfirlit'!BF27-'3.2. Yfirlit'!BF37-('3.2. Yfirlit'!BF43+'3.2. Yfirlit'!BF47-'3.2. Yfirlit'!BF45))</f>
        <v>26263.168000000005</v>
      </c>
      <c r="BG76" s="10">
        <f>2*('3.2. Yfirlit'!BG29-'3.2. Yfirlit'!BG27-'3.2. Yfirlit'!BG37-('3.2. Yfirlit'!BG43+'3.2. Yfirlit'!BG47-'3.2. Yfirlit'!BG45))</f>
        <v>13733.169999999998</v>
      </c>
      <c r="BH76" s="10">
        <f>2*('3.2. Yfirlit'!BH29-'3.2. Yfirlit'!BH27-'3.2. Yfirlit'!BH37-('3.2. Yfirlit'!BH43+'3.2. Yfirlit'!BH47-'3.2. Yfirlit'!BH45))</f>
        <v>20785.485999999997</v>
      </c>
      <c r="BI76" s="10">
        <f>2*('3.2. Yfirlit'!BI29-'3.2. Yfirlit'!BI27-'3.2. Yfirlit'!BI37-('3.2. Yfirlit'!BI43+'3.2. Yfirlit'!BI47-'3.2. Yfirlit'!BI45))</f>
        <v>17287.468</v>
      </c>
      <c r="BJ76" s="10">
        <f>2*('3.2. Yfirlit'!BJ29-'3.2. Yfirlit'!BJ27-'3.2. Yfirlit'!BJ37-('3.2. Yfirlit'!BJ43+'3.2. Yfirlit'!BJ47-'3.2. Yfirlit'!BJ45))</f>
        <v>13619.587999999998</v>
      </c>
      <c r="BK76" s="10">
        <f>2*('3.2. Yfirlit'!BK29-'3.2. Yfirlit'!BK27-'3.2. Yfirlit'!BK37-('3.2. Yfirlit'!BK43+'3.2. Yfirlit'!BK47-'3.2. Yfirlit'!BK45))</f>
        <v>19259.794</v>
      </c>
      <c r="BL76" s="10">
        <f>2*('3.2. Yfirlit'!BL29-'3.2. Yfirlit'!BL27-'3.2. Yfirlit'!BL37-('3.2. Yfirlit'!BL43+'3.2. Yfirlit'!BL47-'3.2. Yfirlit'!BL45))</f>
        <v>4792</v>
      </c>
      <c r="BM76" s="10">
        <f>2*('3.2. Yfirlit'!BM29-'3.2. Yfirlit'!BM27-'3.2. Yfirlit'!BM37-('3.2. Yfirlit'!BM43+'3.2. Yfirlit'!BM47-'3.2. Yfirlit'!BM45))</f>
        <v>2188.884</v>
      </c>
      <c r="BN76" s="10">
        <f>2*('3.2. Yfirlit'!BN29-'3.2. Yfirlit'!BN27-'3.2. Yfirlit'!BN37-('3.2. Yfirlit'!BN43+'3.2. Yfirlit'!BN47-'3.2. Yfirlit'!BN45))</f>
        <v>1807.998</v>
      </c>
      <c r="BO76" s="10">
        <f>2*('3.2. Yfirlit'!BO29-'3.2. Yfirlit'!BO27-'3.2. Yfirlit'!BO37-('3.2. Yfirlit'!BO43+'3.2. Yfirlit'!BO47-'3.2. Yfirlit'!BO45))</f>
        <v>-729.2739999999999</v>
      </c>
      <c r="BP76" s="10"/>
      <c r="BQ76" s="10"/>
      <c r="BR76" s="10"/>
      <c r="BS76" s="10">
        <f>2*('3.2. Yfirlit'!BS29-'3.2. Yfirlit'!BS27-'3.2. Yfirlit'!BS37-('3.2. Yfirlit'!BS43+'3.2. Yfirlit'!BS47-'3.2. Yfirlit'!BS45))</f>
        <v>63512747.96</v>
      </c>
      <c r="BT76" s="10">
        <f>2*('3.2. Yfirlit'!BT29-'3.2. Yfirlit'!BT27-'3.2. Yfirlit'!BT37-('3.2. Yfirlit'!BT43+'3.2. Yfirlit'!BT47-'3.2. Yfirlit'!BT45))</f>
        <v>8370863.956</v>
      </c>
      <c r="BU76" s="10">
        <f>2*('3.2. Yfirlit'!BU29-'3.2. Yfirlit'!BU27-'3.2. Yfirlit'!BU37-('3.2. Yfirlit'!BU43+'3.2. Yfirlit'!BU47-'3.2. Yfirlit'!BU45))</f>
        <v>23718692.522</v>
      </c>
      <c r="BV76" s="10">
        <f>2*('3.2. Yfirlit'!BV29-'3.2. Yfirlit'!BV27-'3.2. Yfirlit'!BV37-('3.2. Yfirlit'!BV43+'3.2. Yfirlit'!BV47-'3.2. Yfirlit'!BV45))</f>
        <v>29070862.686</v>
      </c>
      <c r="BW76" s="10">
        <f>2*('3.2. Yfirlit'!BW29-'3.2. Yfirlit'!BW27-'3.2. Yfirlit'!BW37-('3.2. Yfirlit'!BW43+'3.2. Yfirlit'!BW47-'3.2. Yfirlit'!BW45))</f>
        <v>61160419.164</v>
      </c>
      <c r="BX76" s="10">
        <f>2*('3.2. Yfirlit'!BX29-'3.2. Yfirlit'!BX27-'3.2. Yfirlit'!BX37-('3.2. Yfirlit'!BX43+'3.2. Yfirlit'!BX47-'3.2. Yfirlit'!BX45))</f>
        <v>2352328.7959999996</v>
      </c>
      <c r="BY76" s="10"/>
      <c r="BZ76" s="10">
        <f>2*('3.2. Yfirlit'!BZ29-'3.2. Yfirlit'!BZ27-'3.2. Yfirlit'!BZ37-('3.2. Yfirlit'!BZ43+'3.2. Yfirlit'!BZ47-'3.2. Yfirlit'!BZ45))</f>
        <v>63512747.959999986</v>
      </c>
      <c r="CA76" s="76"/>
      <c r="CB76" s="76"/>
    </row>
    <row r="77" spans="1:80" ht="12.75">
      <c r="A77" s="100" t="s">
        <v>218</v>
      </c>
      <c r="B77" s="10">
        <f>'3.2. Yfirlit'!B60+'3.2. Yfirlit'!B63-('3.2. Yfirlit'!B29-'3.2. Yfirlit'!B27-'3.2. Yfirlit'!B37-('3.2. Yfirlit'!B43+'3.2. Yfirlit'!B47-'3.2. Yfirlit'!B45))</f>
        <v>93077566.18</v>
      </c>
      <c r="C77" s="10">
        <f>'3.2. Yfirlit'!C60+'3.2. Yfirlit'!C63-('3.2. Yfirlit'!C29-'3.2. Yfirlit'!C27-'3.2. Yfirlit'!C37-('3.2. Yfirlit'!C43+'3.2. Yfirlit'!C47-'3.2. Yfirlit'!C45))</f>
        <v>62721317.014</v>
      </c>
      <c r="D77" s="10">
        <f>'3.2. Yfirlit'!D60+'3.2. Yfirlit'!D63-('3.2. Yfirlit'!D29-'3.2. Yfirlit'!D27-'3.2. Yfirlit'!D37-('3.2. Yfirlit'!D43+'3.2. Yfirlit'!D47-'3.2. Yfirlit'!D45))</f>
        <v>59151681.828999996</v>
      </c>
      <c r="E77" s="10">
        <f>'3.2. Yfirlit'!E60+'3.2. Yfirlit'!E63-('3.2. Yfirlit'!E29-'3.2. Yfirlit'!E27-'3.2. Yfirlit'!E37-('3.2. Yfirlit'!E43+'3.2. Yfirlit'!E47-'3.2. Yfirlit'!E45))</f>
        <v>51560347.555999994</v>
      </c>
      <c r="F77" s="10">
        <f>'3.2. Yfirlit'!F60+'3.2. Yfirlit'!F63-('3.2. Yfirlit'!F29-'3.2. Yfirlit'!F27-'3.2. Yfirlit'!F37-('3.2. Yfirlit'!F43+'3.2. Yfirlit'!F47-'3.2. Yfirlit'!F45))</f>
        <v>49340371.334</v>
      </c>
      <c r="G77" s="10">
        <f>'3.2. Yfirlit'!G60+'3.2. Yfirlit'!G63-('3.2. Yfirlit'!G29-'3.2. Yfirlit'!G27-'3.2. Yfirlit'!G37-('3.2. Yfirlit'!G43+'3.2. Yfirlit'!G47-'3.2. Yfirlit'!G45))</f>
        <v>23494656.869000003</v>
      </c>
      <c r="H77" s="10">
        <f>'3.2. Yfirlit'!H60+'3.2. Yfirlit'!H63-('3.2. Yfirlit'!H29-'3.2. Yfirlit'!H27-'3.2. Yfirlit'!H37-('3.2. Yfirlit'!H43+'3.2. Yfirlit'!H47-'3.2. Yfirlit'!H45))</f>
        <v>22905190.848</v>
      </c>
      <c r="I77" s="10">
        <f>'3.2. Yfirlit'!I60+'3.2. Yfirlit'!I63-('3.2. Yfirlit'!I29-'3.2. Yfirlit'!I27-'3.2. Yfirlit'!I37-('3.2. Yfirlit'!I43+'3.2. Yfirlit'!I47-'3.2. Yfirlit'!I45))</f>
        <v>19294481.450999998</v>
      </c>
      <c r="J77" s="10">
        <f>'3.2. Yfirlit'!J60+'3.2. Yfirlit'!J63-('3.2. Yfirlit'!J29-'3.2. Yfirlit'!J27-'3.2. Yfirlit'!J37-('3.2. Yfirlit'!J43+'3.2. Yfirlit'!J47-'3.2. Yfirlit'!J45))</f>
        <v>17865481.004</v>
      </c>
      <c r="K77" s="10">
        <f>'3.2. Yfirlit'!K60+'3.2. Yfirlit'!K63-('3.2. Yfirlit'!K29-'3.2. Yfirlit'!K27-'3.2. Yfirlit'!K37-('3.2. Yfirlit'!K43+'3.2. Yfirlit'!K47-'3.2. Yfirlit'!K45))</f>
        <v>17272516.521</v>
      </c>
      <c r="L77" s="10">
        <f>'3.2. Yfirlit'!L60+'3.2. Yfirlit'!L63-('3.2. Yfirlit'!L29-'3.2. Yfirlit'!L27-'3.2. Yfirlit'!L37-('3.2. Yfirlit'!L43+'3.2. Yfirlit'!L47-'3.2. Yfirlit'!L45))</f>
        <v>16284534.154</v>
      </c>
      <c r="M77" s="10">
        <f>'3.2. Yfirlit'!M60+'3.2. Yfirlit'!M63-('3.2. Yfirlit'!M29-'3.2. Yfirlit'!M27-'3.2. Yfirlit'!M37-('3.2. Yfirlit'!M43+'3.2. Yfirlit'!M47-'3.2. Yfirlit'!M45))</f>
        <v>15778090.483</v>
      </c>
      <c r="N77" s="10">
        <f>'3.2. Yfirlit'!N60+'3.2. Yfirlit'!N63-('3.2. Yfirlit'!N29-'3.2. Yfirlit'!N27-'3.2. Yfirlit'!N37-('3.2. Yfirlit'!N43+'3.2. Yfirlit'!N47-'3.2. Yfirlit'!N45))</f>
        <v>13522017.013000002</v>
      </c>
      <c r="O77" s="10">
        <f>'3.2. Yfirlit'!O60+'3.2. Yfirlit'!O63-('3.2. Yfirlit'!O29-'3.2. Yfirlit'!O27-'3.2. Yfirlit'!O37-('3.2. Yfirlit'!O43+'3.2. Yfirlit'!O47-'3.2. Yfirlit'!O45))</f>
        <v>13022874.662</v>
      </c>
      <c r="P77" s="10">
        <f>'3.2. Yfirlit'!P60+'3.2. Yfirlit'!P63-('3.2. Yfirlit'!P29-'3.2. Yfirlit'!P27-'3.2. Yfirlit'!P37-('3.2. Yfirlit'!P43+'3.2. Yfirlit'!P47-'3.2. Yfirlit'!P45))</f>
        <v>13065487.129999999</v>
      </c>
      <c r="Q77" s="10">
        <f>'3.2. Yfirlit'!Q60+'3.2. Yfirlit'!Q63-('3.2. Yfirlit'!Q29-'3.2. Yfirlit'!Q27-'3.2. Yfirlit'!Q37-('3.2. Yfirlit'!Q43+'3.2. Yfirlit'!Q47-'3.2. Yfirlit'!Q45))</f>
        <v>12563150.925</v>
      </c>
      <c r="R77" s="10">
        <f>'3.2. Yfirlit'!R60+'3.2. Yfirlit'!R63-('3.2. Yfirlit'!R29-'3.2. Yfirlit'!R27-'3.2. Yfirlit'!R37-('3.2. Yfirlit'!R43+'3.2. Yfirlit'!R47-'3.2. Yfirlit'!R45))</f>
        <v>10813527.792999998</v>
      </c>
      <c r="S77" s="10">
        <f>'3.2. Yfirlit'!S60+'3.2. Yfirlit'!S63-('3.2. Yfirlit'!S29-'3.2. Yfirlit'!S27-'3.2. Yfirlit'!S37-('3.2. Yfirlit'!S43+'3.2. Yfirlit'!S47-'3.2. Yfirlit'!S45))</f>
        <v>8981158</v>
      </c>
      <c r="T77" s="10">
        <f>'3.2. Yfirlit'!T60+'3.2. Yfirlit'!T63-('3.2. Yfirlit'!T29-'3.2. Yfirlit'!T27-'3.2. Yfirlit'!T37-('3.2. Yfirlit'!T43+'3.2. Yfirlit'!T47-'3.2. Yfirlit'!T45))</f>
        <v>8744411.728999998</v>
      </c>
      <c r="U77" s="10">
        <f>'3.2. Yfirlit'!U60+'3.2. Yfirlit'!U63-('3.2. Yfirlit'!U29-'3.2. Yfirlit'!U27-'3.2. Yfirlit'!U37-('3.2. Yfirlit'!U43+'3.2. Yfirlit'!U47-'3.2. Yfirlit'!U45))</f>
        <v>6546074.812</v>
      </c>
      <c r="V77" s="10">
        <f>'3.2. Yfirlit'!V60+'3.2. Yfirlit'!V63-('3.2. Yfirlit'!V29-'3.2. Yfirlit'!V27-'3.2. Yfirlit'!V37-('3.2. Yfirlit'!V43+'3.2. Yfirlit'!V47-'3.2. Yfirlit'!V45))</f>
        <v>7837794.861</v>
      </c>
      <c r="W77" s="10">
        <f>'3.2. Yfirlit'!W60+'3.2. Yfirlit'!W63-('3.2. Yfirlit'!W29-'3.2. Yfirlit'!W27-'3.2. Yfirlit'!W37-('3.2. Yfirlit'!W43+'3.2. Yfirlit'!W47-'3.2. Yfirlit'!W45))</f>
        <v>7404166.129</v>
      </c>
      <c r="X77" s="10">
        <f>'3.2. Yfirlit'!X60+'3.2. Yfirlit'!X63-('3.2. Yfirlit'!X29-'3.2. Yfirlit'!X27-'3.2. Yfirlit'!X37-('3.2. Yfirlit'!X43+'3.2. Yfirlit'!X47-'3.2. Yfirlit'!X45))</f>
        <v>6248054.467</v>
      </c>
      <c r="Y77" s="10">
        <f>'3.2. Yfirlit'!Y60+'3.2. Yfirlit'!Y63-('3.2. Yfirlit'!Y29-'3.2. Yfirlit'!Y27-'3.2. Yfirlit'!Y37-('3.2. Yfirlit'!Y43+'3.2. Yfirlit'!Y47-'3.2. Yfirlit'!Y45))</f>
        <v>5468868.339</v>
      </c>
      <c r="Z77" s="10">
        <f>'3.2. Yfirlit'!Z60+'3.2. Yfirlit'!Z63-('3.2. Yfirlit'!Z29-'3.2. Yfirlit'!Z27-'3.2. Yfirlit'!Z37-('3.2. Yfirlit'!Z43+'3.2. Yfirlit'!Z47-'3.2. Yfirlit'!Z45))</f>
        <v>5400640.662</v>
      </c>
      <c r="AA77" s="10">
        <f>'3.2. Yfirlit'!AA60+'3.2. Yfirlit'!AA63-('3.2. Yfirlit'!AA29-'3.2. Yfirlit'!AA27-'3.2. Yfirlit'!AA37-('3.2. Yfirlit'!AA43+'3.2. Yfirlit'!AA47-'3.2. Yfirlit'!AA45))</f>
        <v>4508537.695</v>
      </c>
      <c r="AB77" s="10">
        <f>'3.2. Yfirlit'!AB60+'3.2. Yfirlit'!AB63-('3.2. Yfirlit'!AB29-'3.2. Yfirlit'!AB27-'3.2. Yfirlit'!AB37-('3.2. Yfirlit'!AB43+'3.2. Yfirlit'!AB47-'3.2. Yfirlit'!AB45))</f>
        <v>4222610.426</v>
      </c>
      <c r="AC77" s="10">
        <f>'3.2. Yfirlit'!AC60+'3.2. Yfirlit'!AC63-('3.2. Yfirlit'!AC29-'3.2. Yfirlit'!AC27-'3.2. Yfirlit'!AC37-('3.2. Yfirlit'!AC43+'3.2. Yfirlit'!AC47-'3.2. Yfirlit'!AC45))</f>
        <v>4221050.455</v>
      </c>
      <c r="AD77" s="10">
        <f>'3.2. Yfirlit'!AD60+'3.2. Yfirlit'!AD63-('3.2. Yfirlit'!AD29-'3.2. Yfirlit'!AD27-'3.2. Yfirlit'!AD37-('3.2. Yfirlit'!AD43+'3.2. Yfirlit'!AD47-'3.2. Yfirlit'!AD45))</f>
        <v>3980416.8499999996</v>
      </c>
      <c r="AE77" s="10">
        <f>'3.2. Yfirlit'!AE60+'3.2. Yfirlit'!AE63-('3.2. Yfirlit'!AE29-'3.2. Yfirlit'!AE27-'3.2. Yfirlit'!AE37-('3.2. Yfirlit'!AE43+'3.2. Yfirlit'!AE47-'3.2. Yfirlit'!AE45))</f>
        <v>3440871.0719999997</v>
      </c>
      <c r="AF77" s="10">
        <f>'3.2. Yfirlit'!AF60+'3.2. Yfirlit'!AF63-('3.2. Yfirlit'!AF29-'3.2. Yfirlit'!AF27-'3.2. Yfirlit'!AF37-('3.2. Yfirlit'!AF43+'3.2. Yfirlit'!AF47-'3.2. Yfirlit'!AF45))</f>
        <v>3528877.575</v>
      </c>
      <c r="AG77" s="10">
        <f>'3.2. Yfirlit'!AG60+'3.2. Yfirlit'!AG63-('3.2. Yfirlit'!AG29-'3.2. Yfirlit'!AG27-'3.2. Yfirlit'!AG37-('3.2. Yfirlit'!AG43+'3.2. Yfirlit'!AG47-'3.2. Yfirlit'!AG45))</f>
        <v>2231510.159</v>
      </c>
      <c r="AH77" s="10">
        <f>'3.2. Yfirlit'!AH60+'3.2. Yfirlit'!AH63-('3.2. Yfirlit'!AH29-'3.2. Yfirlit'!AH27-'3.2. Yfirlit'!AH37-('3.2. Yfirlit'!AH43+'3.2. Yfirlit'!AH47-'3.2. Yfirlit'!AH45))</f>
        <v>2828561.884</v>
      </c>
      <c r="AI77" s="10">
        <f>'3.2. Yfirlit'!AI60+'3.2. Yfirlit'!AI63-('3.2. Yfirlit'!AI29-'3.2. Yfirlit'!AI27-'3.2. Yfirlit'!AI37-('3.2. Yfirlit'!AI43+'3.2. Yfirlit'!AI47-'3.2. Yfirlit'!AI45))</f>
        <v>2753633.409</v>
      </c>
      <c r="AJ77" s="10">
        <f>'3.2. Yfirlit'!AJ60+'3.2. Yfirlit'!AJ63-('3.2. Yfirlit'!AJ29-'3.2. Yfirlit'!AJ27-'3.2. Yfirlit'!AJ37-('3.2. Yfirlit'!AJ43+'3.2. Yfirlit'!AJ47-'3.2. Yfirlit'!AJ45))</f>
        <v>2307863.4409999996</v>
      </c>
      <c r="AK77" s="10">
        <f>'3.2. Yfirlit'!AK60+'3.2. Yfirlit'!AK63-('3.2. Yfirlit'!AK29-'3.2. Yfirlit'!AK27-'3.2. Yfirlit'!AK37-('3.2. Yfirlit'!AK43+'3.2. Yfirlit'!AK47-'3.2. Yfirlit'!AK45))</f>
        <v>2056428.0180000002</v>
      </c>
      <c r="AL77" s="10">
        <f>'3.2. Yfirlit'!AL60+'3.2. Yfirlit'!AL63-('3.2. Yfirlit'!AL29-'3.2. Yfirlit'!AL27-'3.2. Yfirlit'!AL37-('3.2. Yfirlit'!AL43+'3.2. Yfirlit'!AL47-'3.2. Yfirlit'!AL45))</f>
        <v>2019699.4239999999</v>
      </c>
      <c r="AM77" s="10">
        <f>'3.2. Yfirlit'!AM60+'3.2. Yfirlit'!AM63-('3.2. Yfirlit'!AM29-'3.2. Yfirlit'!AM27-'3.2. Yfirlit'!AM37-('3.2. Yfirlit'!AM43+'3.2. Yfirlit'!AM47-'3.2. Yfirlit'!AM45))</f>
        <v>1795331.849</v>
      </c>
      <c r="AN77" s="10">
        <f>'3.2. Yfirlit'!AN60+'3.2. Yfirlit'!AN63-('3.2. Yfirlit'!AN29-'3.2. Yfirlit'!AN27-'3.2. Yfirlit'!AN37-('3.2. Yfirlit'!AN43+'3.2. Yfirlit'!AN47-'3.2. Yfirlit'!AN45))</f>
        <v>1735605.632</v>
      </c>
      <c r="AO77" s="10">
        <f>'3.2. Yfirlit'!AO60+'3.2. Yfirlit'!AO63-('3.2. Yfirlit'!AO29-'3.2. Yfirlit'!AO27-'3.2. Yfirlit'!AO37-('3.2. Yfirlit'!AO43+'3.2. Yfirlit'!AO47-'3.2. Yfirlit'!AO45))</f>
        <v>1308104.2590000003</v>
      </c>
      <c r="AP77" s="10">
        <f>'3.2. Yfirlit'!AP60+'3.2. Yfirlit'!AP63-('3.2. Yfirlit'!AP29-'3.2. Yfirlit'!AP27-'3.2. Yfirlit'!AP37-('3.2. Yfirlit'!AP43+'3.2. Yfirlit'!AP47-'3.2. Yfirlit'!AP45))</f>
        <v>1500990.1230000001</v>
      </c>
      <c r="AQ77" s="10">
        <f>'3.2. Yfirlit'!AQ60+'3.2. Yfirlit'!AQ63-('3.2. Yfirlit'!AQ29-'3.2. Yfirlit'!AQ27-'3.2. Yfirlit'!AQ37-('3.2. Yfirlit'!AQ43+'3.2. Yfirlit'!AQ47-'3.2. Yfirlit'!AQ45))</f>
        <v>1436956.901</v>
      </c>
      <c r="AR77" s="10">
        <f>'3.2. Yfirlit'!AR60+'3.2. Yfirlit'!AR63-('3.2. Yfirlit'!AR29-'3.2. Yfirlit'!AR27-'3.2. Yfirlit'!AR37-('3.2. Yfirlit'!AR43+'3.2. Yfirlit'!AR47-'3.2. Yfirlit'!AR45))</f>
        <v>1439240.939</v>
      </c>
      <c r="AS77" s="10">
        <f>'3.2. Yfirlit'!AS60+'3.2. Yfirlit'!AS63-('3.2. Yfirlit'!AS29-'3.2. Yfirlit'!AS27-'3.2. Yfirlit'!AS37-('3.2. Yfirlit'!AS43+'3.2. Yfirlit'!AS47-'3.2. Yfirlit'!AS45))</f>
        <v>1366953.788</v>
      </c>
      <c r="AT77" s="10">
        <f>'3.2. Yfirlit'!AT60+'3.2. Yfirlit'!AT63-('3.2. Yfirlit'!AT29-'3.2. Yfirlit'!AT27-'3.2. Yfirlit'!AT37-('3.2. Yfirlit'!AT43+'3.2. Yfirlit'!AT47-'3.2. Yfirlit'!AT45))</f>
        <v>1365528.248</v>
      </c>
      <c r="AU77" s="10">
        <f>'3.2. Yfirlit'!AU60+'3.2. Yfirlit'!AU63-('3.2. Yfirlit'!AU29-'3.2. Yfirlit'!AU27-'3.2. Yfirlit'!AU37-('3.2. Yfirlit'!AU43+'3.2. Yfirlit'!AU47-'3.2. Yfirlit'!AU45))</f>
        <v>617074.3499999999</v>
      </c>
      <c r="AV77" s="10">
        <f>'3.2. Yfirlit'!AV60+'3.2. Yfirlit'!AV63-('3.2. Yfirlit'!AV29-'3.2. Yfirlit'!AV27-'3.2. Yfirlit'!AV37-('3.2. Yfirlit'!AV43+'3.2. Yfirlit'!AV47-'3.2. Yfirlit'!AV45))</f>
        <v>1151064.286</v>
      </c>
      <c r="AW77" s="10">
        <f>'3.2. Yfirlit'!AW60+'3.2. Yfirlit'!AW63-('3.2. Yfirlit'!AW29-'3.2. Yfirlit'!AW27-'3.2. Yfirlit'!AW37-('3.2. Yfirlit'!AW43+'3.2. Yfirlit'!AW47-'3.2. Yfirlit'!AW45))</f>
        <v>1125132.5019999999</v>
      </c>
      <c r="AX77" s="10">
        <f>'3.2. Yfirlit'!AX60+'3.2. Yfirlit'!AX63-('3.2. Yfirlit'!AX29-'3.2. Yfirlit'!AX27-'3.2. Yfirlit'!AX37-('3.2. Yfirlit'!AX43+'3.2. Yfirlit'!AX47-'3.2. Yfirlit'!AX45))</f>
        <v>998736.148</v>
      </c>
      <c r="AY77" s="10">
        <f>'3.2. Yfirlit'!AY60+'3.2. Yfirlit'!AY63-('3.2. Yfirlit'!AY29-'3.2. Yfirlit'!AY27-'3.2. Yfirlit'!AY37-('3.2. Yfirlit'!AY43+'3.2. Yfirlit'!AY47-'3.2. Yfirlit'!AY45))</f>
        <v>824976.5109999999</v>
      </c>
      <c r="AZ77" s="10">
        <f>'3.2. Yfirlit'!AZ60+'3.2. Yfirlit'!AZ63-('3.2. Yfirlit'!AZ29-'3.2. Yfirlit'!AZ27-'3.2. Yfirlit'!AZ37-('3.2. Yfirlit'!AZ43+'3.2. Yfirlit'!AZ47-'3.2. Yfirlit'!AZ45))</f>
        <v>743828.913</v>
      </c>
      <c r="BA77" s="10">
        <f>'3.2. Yfirlit'!BA60+'3.2. Yfirlit'!BA63-('3.2. Yfirlit'!BA29-'3.2. Yfirlit'!BA27-'3.2. Yfirlit'!BA37-('3.2. Yfirlit'!BA43+'3.2. Yfirlit'!BA47-'3.2. Yfirlit'!BA45))</f>
        <v>711026.121</v>
      </c>
      <c r="BB77" s="10">
        <f>'3.2. Yfirlit'!BB60+'3.2. Yfirlit'!BB63-('3.2. Yfirlit'!BB29-'3.2. Yfirlit'!BB27-'3.2. Yfirlit'!BB37-('3.2. Yfirlit'!BB43+'3.2. Yfirlit'!BB47-'3.2. Yfirlit'!BB45))</f>
        <v>642164.682</v>
      </c>
      <c r="BC77" s="10">
        <f>'3.2. Yfirlit'!BC60+'3.2. Yfirlit'!BC63-('3.2. Yfirlit'!BC29-'3.2. Yfirlit'!BC27-'3.2. Yfirlit'!BC37-('3.2. Yfirlit'!BC43+'3.2. Yfirlit'!BC47-'3.2. Yfirlit'!BC45))</f>
        <v>557173.677</v>
      </c>
      <c r="BD77" s="10">
        <f>'3.2. Yfirlit'!BD60+'3.2. Yfirlit'!BD63-('3.2. Yfirlit'!BD29-'3.2. Yfirlit'!BD27-'3.2. Yfirlit'!BD37-('3.2. Yfirlit'!BD43+'3.2. Yfirlit'!BD47-'3.2. Yfirlit'!BD45))</f>
        <v>429920.53299999994</v>
      </c>
      <c r="BE77" s="10">
        <f>'3.2. Yfirlit'!BE60+'3.2. Yfirlit'!BE63-('3.2. Yfirlit'!BE29-'3.2. Yfirlit'!BE27-'3.2. Yfirlit'!BE37-('3.2. Yfirlit'!BE43+'3.2. Yfirlit'!BE47-'3.2. Yfirlit'!BE45))</f>
        <v>344713.01399999997</v>
      </c>
      <c r="BF77" s="10">
        <f>'3.2. Yfirlit'!BF60+'3.2. Yfirlit'!BF63-('3.2. Yfirlit'!BF29-'3.2. Yfirlit'!BF27-'3.2. Yfirlit'!BF37-('3.2. Yfirlit'!BF43+'3.2. Yfirlit'!BF47-'3.2. Yfirlit'!BF45))</f>
        <v>321870.30700000003</v>
      </c>
      <c r="BG77" s="10">
        <f>'3.2. Yfirlit'!BG60+'3.2. Yfirlit'!BG63-('3.2. Yfirlit'!BG29-'3.2. Yfirlit'!BG27-'3.2. Yfirlit'!BG37-('3.2. Yfirlit'!BG43+'3.2. Yfirlit'!BG47-'3.2. Yfirlit'!BG45))</f>
        <v>144841.839</v>
      </c>
      <c r="BH77" s="10">
        <f>'3.2. Yfirlit'!BH60+'3.2. Yfirlit'!BH63-('3.2. Yfirlit'!BH29-'3.2. Yfirlit'!BH27-'3.2. Yfirlit'!BH37-('3.2. Yfirlit'!BH43+'3.2. Yfirlit'!BH47-'3.2. Yfirlit'!BH45))</f>
        <v>282075.528</v>
      </c>
      <c r="BI77" s="10">
        <f>'3.2. Yfirlit'!BI60+'3.2. Yfirlit'!BI63-('3.2. Yfirlit'!BI29-'3.2. Yfirlit'!BI27-'3.2. Yfirlit'!BI37-('3.2. Yfirlit'!BI43+'3.2. Yfirlit'!BI47-'3.2. Yfirlit'!BI45))</f>
        <v>221014.97900000002</v>
      </c>
      <c r="BJ77" s="10">
        <f>'3.2. Yfirlit'!BJ60+'3.2. Yfirlit'!BJ63-('3.2. Yfirlit'!BJ29-'3.2. Yfirlit'!BJ27-'3.2. Yfirlit'!BJ37-('3.2. Yfirlit'!BJ43+'3.2. Yfirlit'!BJ47-'3.2. Yfirlit'!BJ45))</f>
        <v>209993.68099999998</v>
      </c>
      <c r="BK77" s="10">
        <f>'3.2. Yfirlit'!BK60+'3.2. Yfirlit'!BK63-('3.2. Yfirlit'!BK29-'3.2. Yfirlit'!BK27-'3.2. Yfirlit'!BK37-('3.2. Yfirlit'!BK43+'3.2. Yfirlit'!BK47-'3.2. Yfirlit'!BK45))</f>
        <v>185916.894</v>
      </c>
      <c r="BL77" s="10">
        <f>'3.2. Yfirlit'!BL60+'3.2. Yfirlit'!BL63-('3.2. Yfirlit'!BL29-'3.2. Yfirlit'!BL27-'3.2. Yfirlit'!BL37-('3.2. Yfirlit'!BL43+'3.2. Yfirlit'!BL47-'3.2. Yfirlit'!BL45))</f>
        <v>67682</v>
      </c>
      <c r="BM77" s="10">
        <f>'3.2. Yfirlit'!BM60+'3.2. Yfirlit'!BM63-('3.2. Yfirlit'!BM29-'3.2. Yfirlit'!BM27-'3.2. Yfirlit'!BM37-('3.2. Yfirlit'!BM43+'3.2. Yfirlit'!BM47-'3.2. Yfirlit'!BM45))</f>
        <v>21511.842</v>
      </c>
      <c r="BN77" s="10">
        <f>'3.2. Yfirlit'!BN60+'3.2. Yfirlit'!BN63-('3.2. Yfirlit'!BN29-'3.2. Yfirlit'!BN27-'3.2. Yfirlit'!BN37-('3.2. Yfirlit'!BN43+'3.2. Yfirlit'!BN47-'3.2. Yfirlit'!BN45))</f>
        <v>-903.6440000000002</v>
      </c>
      <c r="BO77" s="10">
        <f>'3.2. Yfirlit'!BO60+'3.2. Yfirlit'!BO63-('3.2. Yfirlit'!BO29-'3.2. Yfirlit'!BO27-'3.2. Yfirlit'!BO37-('3.2. Yfirlit'!BO43+'3.2. Yfirlit'!BO47-'3.2. Yfirlit'!BO45))</f>
        <v>364.63700000000244</v>
      </c>
      <c r="BP77" s="10"/>
      <c r="BQ77" s="10"/>
      <c r="BR77" s="10"/>
      <c r="BS77" s="10">
        <f>'3.2. Yfirlit'!BS60+'3.2. Yfirlit'!BS63-('3.2. Yfirlit'!BS29-'3.2. Yfirlit'!BS27-'3.2. Yfirlit'!BS37-('3.2. Yfirlit'!BS43+'3.2. Yfirlit'!BS47-'3.2. Yfirlit'!BS45))</f>
        <v>628013412.7120001</v>
      </c>
      <c r="BT77" s="10">
        <f>'3.2. Yfirlit'!BT60+'3.2. Yfirlit'!BT63-('3.2. Yfirlit'!BT29-'3.2. Yfirlit'!BT27-'3.2. Yfirlit'!BT37-('3.2. Yfirlit'!BT43+'3.2. Yfirlit'!BT47-'3.2. Yfirlit'!BT45))</f>
        <v>109941408.77700001</v>
      </c>
      <c r="BU77" s="10">
        <f>'3.2. Yfirlit'!BU60+'3.2. Yfirlit'!BU63-('3.2. Yfirlit'!BU29-'3.2. Yfirlit'!BU27-'3.2. Yfirlit'!BU37-('3.2. Yfirlit'!BU43+'3.2. Yfirlit'!BU47-'3.2. Yfirlit'!BU45))</f>
        <v>229555595.17100003</v>
      </c>
      <c r="BV77" s="10">
        <f>'3.2. Yfirlit'!BV60+'3.2. Yfirlit'!BV63-('3.2. Yfirlit'!BV29-'3.2. Yfirlit'!BV27-'3.2. Yfirlit'!BV37-('3.2. Yfirlit'!BV43+'3.2. Yfirlit'!BV47-'3.2. Yfirlit'!BV45))</f>
        <v>262612331.907</v>
      </c>
      <c r="BW77" s="10">
        <f>'3.2. Yfirlit'!BW60+'3.2. Yfirlit'!BW63-('3.2. Yfirlit'!BW29-'3.2. Yfirlit'!BW27-'3.2. Yfirlit'!BW37-('3.2. Yfirlit'!BW43+'3.2. Yfirlit'!BW47-'3.2. Yfirlit'!BW45))</f>
        <v>602109335.855</v>
      </c>
      <c r="BX77" s="10">
        <f>'3.2. Yfirlit'!BX60+'3.2. Yfirlit'!BX63-('3.2. Yfirlit'!BX29-'3.2. Yfirlit'!BX27-'3.2. Yfirlit'!BX37-('3.2. Yfirlit'!BX43+'3.2. Yfirlit'!BX47-'3.2. Yfirlit'!BX45))</f>
        <v>25904076.857000005</v>
      </c>
      <c r="BY77" s="10"/>
      <c r="BZ77" s="10">
        <f>'3.2. Yfirlit'!BZ60+'3.2. Yfirlit'!BZ63-('3.2. Yfirlit'!BZ29-'3.2. Yfirlit'!BZ27-'3.2. Yfirlit'!BZ37-('3.2. Yfirlit'!BZ43+'3.2. Yfirlit'!BZ47-'3.2. Yfirlit'!BZ45))</f>
        <v>628013412.712</v>
      </c>
      <c r="CA77" s="76"/>
      <c r="CB77" s="76"/>
    </row>
    <row r="78" spans="1:80" ht="12.75">
      <c r="A78" s="127" t="s">
        <v>180</v>
      </c>
      <c r="B78" s="80">
        <f aca="true" t="shared" si="23" ref="B78:AG78">B76/B77</f>
        <v>0.12376826602579735</v>
      </c>
      <c r="C78" s="80">
        <f t="shared" si="23"/>
        <v>0.0767679364086894</v>
      </c>
      <c r="D78" s="80">
        <f t="shared" si="23"/>
        <v>0.10211980165606258</v>
      </c>
      <c r="E78" s="80">
        <f t="shared" si="23"/>
        <v>0.09063960903142056</v>
      </c>
      <c r="F78" s="80">
        <f t="shared" si="23"/>
        <v>0.10401411491736222</v>
      </c>
      <c r="G78" s="80">
        <f t="shared" si="23"/>
        <v>0.10750617487556037</v>
      </c>
      <c r="H78" s="80">
        <f t="shared" si="23"/>
        <v>0.10330041079778216</v>
      </c>
      <c r="I78" s="80">
        <f t="shared" si="23"/>
        <v>0.15233237770417862</v>
      </c>
      <c r="J78" s="80">
        <f t="shared" si="23"/>
        <v>0.1535888775334761</v>
      </c>
      <c r="K78" s="80">
        <f t="shared" si="23"/>
        <v>0.12047652323678446</v>
      </c>
      <c r="L78" s="80">
        <f t="shared" si="23"/>
        <v>0.11577435474486096</v>
      </c>
      <c r="M78" s="80">
        <f t="shared" si="23"/>
        <v>0.0810924566175211</v>
      </c>
      <c r="N78" s="80">
        <f t="shared" si="23"/>
        <v>0.10210376385953741</v>
      </c>
      <c r="O78" s="80">
        <f t="shared" si="23"/>
        <v>0.09445151826494633</v>
      </c>
      <c r="P78" s="80">
        <f t="shared" si="23"/>
        <v>0.07495573798785718</v>
      </c>
      <c r="Q78" s="80">
        <f t="shared" si="23"/>
        <v>0.08687166257218229</v>
      </c>
      <c r="R78" s="80">
        <f t="shared" si="23"/>
        <v>0.08677523542385741</v>
      </c>
      <c r="S78" s="80">
        <f t="shared" si="23"/>
        <v>0.08125321923965707</v>
      </c>
      <c r="T78" s="80">
        <f t="shared" si="23"/>
        <v>0.08087073915501355</v>
      </c>
      <c r="U78" s="80">
        <f t="shared" si="23"/>
        <v>0.04552722517831194</v>
      </c>
      <c r="V78" s="80">
        <f t="shared" si="23"/>
        <v>0.08073849714398644</v>
      </c>
      <c r="W78" s="80">
        <f t="shared" si="23"/>
        <v>0.1007382510069015</v>
      </c>
      <c r="X78" s="80">
        <f t="shared" si="23"/>
        <v>0.08023329640413648</v>
      </c>
      <c r="Y78" s="80">
        <f t="shared" si="23"/>
        <v>0.08301059192860558</v>
      </c>
      <c r="Z78" s="80">
        <f t="shared" si="23"/>
        <v>0.09490851105990505</v>
      </c>
      <c r="AA78" s="80">
        <f t="shared" si="23"/>
        <v>0.0656487251572153</v>
      </c>
      <c r="AB78" s="80">
        <f t="shared" si="23"/>
        <v>0.10494951636345909</v>
      </c>
      <c r="AC78" s="80">
        <f t="shared" si="23"/>
        <v>0.09200221417395969</v>
      </c>
      <c r="AD78" s="80">
        <f t="shared" si="23"/>
        <v>0.10286695625861399</v>
      </c>
      <c r="AE78" s="80">
        <f t="shared" si="23"/>
        <v>0.15748918418062713</v>
      </c>
      <c r="AF78" s="80">
        <f t="shared" si="23"/>
        <v>0.08033855637511031</v>
      </c>
      <c r="AG78" s="80">
        <f t="shared" si="23"/>
        <v>0.06980674830080395</v>
      </c>
      <c r="AH78" s="80">
        <f aca="true" t="shared" si="24" ref="AH78:BM78">AH76/AH77</f>
        <v>0.08118558243288553</v>
      </c>
      <c r="AI78" s="80">
        <f t="shared" si="24"/>
        <v>0.09116165615202991</v>
      </c>
      <c r="AJ78" s="80">
        <f t="shared" si="24"/>
        <v>0.07427695978654744</v>
      </c>
      <c r="AK78" s="80">
        <f t="shared" si="24"/>
        <v>0.09074455821774355</v>
      </c>
      <c r="AL78" s="80">
        <f t="shared" si="24"/>
        <v>0.08268924574392511</v>
      </c>
      <c r="AM78" s="80">
        <f t="shared" si="24"/>
        <v>0.08253722791278795</v>
      </c>
      <c r="AN78" s="80">
        <f t="shared" si="24"/>
        <v>0.10999371082935043</v>
      </c>
      <c r="AO78" s="80">
        <f t="shared" si="24"/>
        <v>0.09192880550051016</v>
      </c>
      <c r="AP78" s="80">
        <f t="shared" si="24"/>
        <v>0.08162658909115286</v>
      </c>
      <c r="AQ78" s="80">
        <f t="shared" si="24"/>
        <v>0.08920812997995407</v>
      </c>
      <c r="AR78" s="80">
        <f t="shared" si="24"/>
        <v>0.07444215843001392</v>
      </c>
      <c r="AS78" s="80">
        <f t="shared" si="24"/>
        <v>0.0896503518083817</v>
      </c>
      <c r="AT78" s="80">
        <f t="shared" si="24"/>
        <v>0.07371421143973289</v>
      </c>
      <c r="AU78" s="80">
        <f t="shared" si="24"/>
        <v>-0.0037692475793233014</v>
      </c>
      <c r="AV78" s="80">
        <f t="shared" si="24"/>
        <v>0.09100130833179199</v>
      </c>
      <c r="AW78" s="80">
        <f t="shared" si="24"/>
        <v>0.08049426164386105</v>
      </c>
      <c r="AX78" s="80">
        <f t="shared" si="24"/>
        <v>0.08175615167580776</v>
      </c>
      <c r="AY78" s="80">
        <f t="shared" si="24"/>
        <v>0.0765749171736115</v>
      </c>
      <c r="AZ78" s="80">
        <f t="shared" si="24"/>
        <v>0.09462703421425084</v>
      </c>
      <c r="BA78" s="80">
        <f t="shared" si="24"/>
        <v>0.09634246053247318</v>
      </c>
      <c r="BB78" s="80">
        <f t="shared" si="24"/>
        <v>0.0744597629553224</v>
      </c>
      <c r="BC78" s="80">
        <f t="shared" si="24"/>
        <v>0.08971177581312767</v>
      </c>
      <c r="BD78" s="80">
        <f t="shared" si="24"/>
        <v>0.07735278370619253</v>
      </c>
      <c r="BE78" s="80">
        <f t="shared" si="24"/>
        <v>0.054102680324102884</v>
      </c>
      <c r="BF78" s="80">
        <f t="shared" si="24"/>
        <v>0.0815954980277196</v>
      </c>
      <c r="BG78" s="80">
        <f t="shared" si="24"/>
        <v>0.09481493810638511</v>
      </c>
      <c r="BH78" s="80">
        <f t="shared" si="24"/>
        <v>0.07368766141244269</v>
      </c>
      <c r="BI78" s="80">
        <f t="shared" si="24"/>
        <v>0.07821853558622377</v>
      </c>
      <c r="BJ78" s="80">
        <f t="shared" si="24"/>
        <v>0.06485713253438326</v>
      </c>
      <c r="BK78" s="80">
        <f t="shared" si="24"/>
        <v>0.10359356584345693</v>
      </c>
      <c r="BL78" s="80">
        <f t="shared" si="24"/>
        <v>0.0708016902573801</v>
      </c>
      <c r="BM78" s="80">
        <f t="shared" si="24"/>
        <v>0.10175251380146805</v>
      </c>
      <c r="BN78" s="80">
        <f>BN76/BN77</f>
        <v>-2.0007857076459308</v>
      </c>
      <c r="BO78" s="80">
        <f>BO76/BO77</f>
        <v>-1.9999999999999862</v>
      </c>
      <c r="BP78" s="80"/>
      <c r="BQ78" s="80"/>
      <c r="BR78" s="80"/>
      <c r="BS78" s="80">
        <f aca="true" t="shared" si="25" ref="BS78:BX78">BS76/BS77</f>
        <v>0.10113278900482056</v>
      </c>
      <c r="BT78" s="80">
        <f t="shared" si="25"/>
        <v>0.07613931865271135</v>
      </c>
      <c r="BU78" s="80">
        <f t="shared" si="25"/>
        <v>0.10332439296167678</v>
      </c>
      <c r="BV78" s="80">
        <f t="shared" si="25"/>
        <v>0.11069877212123834</v>
      </c>
      <c r="BW78" s="80">
        <f t="shared" si="25"/>
        <v>0.1015769321649061</v>
      </c>
      <c r="BX78" s="80">
        <f t="shared" si="25"/>
        <v>0.09080921157645248</v>
      </c>
      <c r="BY78" s="80"/>
      <c r="BZ78" s="80">
        <f>BZ76/BZ77</f>
        <v>0.10113278900482055</v>
      </c>
      <c r="CA78" s="76"/>
      <c r="CB78" s="76"/>
    </row>
    <row r="79" spans="1:80" ht="12.75">
      <c r="A79" s="294" t="s">
        <v>219</v>
      </c>
      <c r="B79" s="14">
        <f>(SUM(1+B78)/SUM(1+B73))-1</f>
        <v>0.10151761029778217</v>
      </c>
      <c r="C79" s="14">
        <f aca="true" t="shared" si="26" ref="C79:BN79">(SUM(1+C78)/SUM(1+C73))-1</f>
        <v>0.05544788904988196</v>
      </c>
      <c r="D79" s="14">
        <f t="shared" si="26"/>
        <v>0.08029778637136098</v>
      </c>
      <c r="E79" s="14">
        <f t="shared" si="26"/>
        <v>0.06904490201080238</v>
      </c>
      <c r="F79" s="14">
        <f t="shared" si="26"/>
        <v>0.08215459215581467</v>
      </c>
      <c r="G79" s="14">
        <f t="shared" si="26"/>
        <v>0.0855775091899238</v>
      </c>
      <c r="H79" s="14">
        <f t="shared" si="26"/>
        <v>0.08145501940578526</v>
      </c>
      <c r="I79" s="14">
        <f t="shared" si="26"/>
        <v>0.12951615144498962</v>
      </c>
      <c r="J79" s="14">
        <f t="shared" si="26"/>
        <v>0.13074777252840253</v>
      </c>
      <c r="K79" s="14">
        <f t="shared" si="26"/>
        <v>0.09829104414505418</v>
      </c>
      <c r="L79" s="14">
        <f t="shared" si="26"/>
        <v>0.09368197877363338</v>
      </c>
      <c r="M79" s="14">
        <f t="shared" si="26"/>
        <v>0.05968678358902291</v>
      </c>
      <c r="N79" s="14">
        <f t="shared" si="26"/>
        <v>0.08028206612383593</v>
      </c>
      <c r="O79" s="14">
        <f t="shared" si="26"/>
        <v>0.072781335292047</v>
      </c>
      <c r="P79" s="14">
        <f t="shared" si="26"/>
        <v>0.053671572228834785</v>
      </c>
      <c r="Q79" s="14">
        <f t="shared" si="26"/>
        <v>0.06535156103919082</v>
      </c>
      <c r="R79" s="14">
        <f t="shared" si="26"/>
        <v>0.06525704315218328</v>
      </c>
      <c r="S79" s="14">
        <f t="shared" si="26"/>
        <v>0.05984436310493746</v>
      </c>
      <c r="T79" s="14">
        <f t="shared" si="26"/>
        <v>0.059469456140966104</v>
      </c>
      <c r="U79" s="14">
        <f t="shared" si="26"/>
        <v>0.02482574512675151</v>
      </c>
      <c r="V79" s="14">
        <f t="shared" si="26"/>
        <v>0.05933983252694208</v>
      </c>
      <c r="W79" s="14">
        <f t="shared" si="26"/>
        <v>0.07894359047922128</v>
      </c>
      <c r="X79" s="14">
        <f t="shared" si="26"/>
        <v>0.05884463478154922</v>
      </c>
      <c r="Y79" s="14">
        <f t="shared" si="26"/>
        <v>0.061566939745741456</v>
      </c>
      <c r="Z79" s="14">
        <f t="shared" si="26"/>
        <v>0.07322927961174774</v>
      </c>
      <c r="AA79" s="14">
        <f t="shared" si="26"/>
        <v>0.04454883861714887</v>
      </c>
      <c r="AB79" s="14">
        <f t="shared" si="26"/>
        <v>0.08307147261660375</v>
      </c>
      <c r="AC79" s="14">
        <f t="shared" si="26"/>
        <v>0.0703805275180942</v>
      </c>
      <c r="AD79" s="14">
        <f t="shared" si="26"/>
        <v>0.08103014728348756</v>
      </c>
      <c r="AE79" s="14">
        <f t="shared" si="26"/>
        <v>0.13457085295101656</v>
      </c>
      <c r="AF79" s="14">
        <f t="shared" si="26"/>
        <v>0.05894781060097065</v>
      </c>
      <c r="AG79" s="14">
        <f t="shared" si="26"/>
        <v>0.048624532739466764</v>
      </c>
      <c r="AH79" s="14">
        <f t="shared" si="26"/>
        <v>0.05977806550959186</v>
      </c>
      <c r="AI79" s="14">
        <f t="shared" si="26"/>
        <v>0.0695566125779552</v>
      </c>
      <c r="AJ79" s="14">
        <f t="shared" si="26"/>
        <v>0.05300623386252434</v>
      </c>
      <c r="AK79" s="14">
        <f t="shared" si="26"/>
        <v>0.06914777319912124</v>
      </c>
      <c r="AL79" s="14">
        <f t="shared" si="26"/>
        <v>0.06125195622811708</v>
      </c>
      <c r="AM79" s="14">
        <f t="shared" si="26"/>
        <v>0.06110294835599683</v>
      </c>
      <c r="AN79" s="14">
        <f t="shared" si="26"/>
        <v>0.08801579183429764</v>
      </c>
      <c r="AO79" s="14">
        <f t="shared" si="26"/>
        <v>0.07030857233925714</v>
      </c>
      <c r="AP79" s="14">
        <f t="shared" si="26"/>
        <v>0.060210340218734615</v>
      </c>
      <c r="AQ79" s="14">
        <f t="shared" si="26"/>
        <v>0.0676417663006803</v>
      </c>
      <c r="AR79" s="14">
        <f t="shared" si="26"/>
        <v>0.05316816156637305</v>
      </c>
      <c r="AS79" s="14">
        <f t="shared" si="26"/>
        <v>0.06807523211956656</v>
      </c>
      <c r="AT79" s="14">
        <f t="shared" si="26"/>
        <v>0.05245462795504108</v>
      </c>
      <c r="AU79" s="14">
        <f t="shared" si="26"/>
        <v>-0.023494655537466436</v>
      </c>
      <c r="AV79" s="14">
        <f t="shared" si="26"/>
        <v>0.06939943965084483</v>
      </c>
      <c r="AW79" s="14">
        <f t="shared" si="26"/>
        <v>0.05910043289929523</v>
      </c>
      <c r="AX79" s="14">
        <f t="shared" si="26"/>
        <v>0.06033733745913339</v>
      </c>
      <c r="AY79" s="14">
        <f t="shared" si="26"/>
        <v>0.05525869160322627</v>
      </c>
      <c r="AZ79" s="14">
        <f t="shared" si="26"/>
        <v>0.07295337601867358</v>
      </c>
      <c r="BA79" s="14">
        <f t="shared" si="26"/>
        <v>0.07463483682853678</v>
      </c>
      <c r="BB79" s="14">
        <f t="shared" si="26"/>
        <v>0.053185417521390166</v>
      </c>
      <c r="BC79" s="14">
        <f t="shared" si="26"/>
        <v>0.06813543992661009</v>
      </c>
      <c r="BD79" s="14">
        <f t="shared" si="26"/>
        <v>0.05602115634796356</v>
      </c>
      <c r="BE79" s="14">
        <f t="shared" si="26"/>
        <v>0.033231405924429414</v>
      </c>
      <c r="BF79" s="14">
        <f t="shared" si="26"/>
        <v>0.06017986475957615</v>
      </c>
      <c r="BG79" s="14">
        <f t="shared" si="26"/>
        <v>0.07313755940637634</v>
      </c>
      <c r="BH79" s="14">
        <f t="shared" si="26"/>
        <v>0.052428603619332215</v>
      </c>
      <c r="BI79" s="14">
        <f t="shared" si="26"/>
        <v>0.05686976630682583</v>
      </c>
      <c r="BJ79" s="14">
        <f t="shared" si="26"/>
        <v>0.04377291955928553</v>
      </c>
      <c r="BK79" s="14">
        <f t="shared" si="26"/>
        <v>0.08174236997006168</v>
      </c>
      <c r="BL79" s="14">
        <f t="shared" si="26"/>
        <v>0.04959977480629285</v>
      </c>
      <c r="BM79" s="14">
        <f t="shared" si="26"/>
        <v>0.07993777083068832</v>
      </c>
      <c r="BN79" s="14">
        <f t="shared" si="26"/>
        <v>-1.9809701113957368</v>
      </c>
      <c r="BO79" s="14">
        <f>(SUM(1+BO78)/SUM(1+BO73))-1</f>
        <v>-1.980199960791988</v>
      </c>
      <c r="BP79" s="14"/>
      <c r="BQ79" s="14"/>
      <c r="BR79" s="14"/>
      <c r="BS79" s="299">
        <f aca="true" t="shared" si="27" ref="BS79:BX79">(SUM(1+BS78)/SUM(1+BS73))-1</f>
        <v>0.07933031660931245</v>
      </c>
      <c r="BT79" s="299">
        <f t="shared" si="27"/>
        <v>0.054831717950118986</v>
      </c>
      <c r="BU79" s="299">
        <f t="shared" si="27"/>
        <v>0.08147852672189448</v>
      </c>
      <c r="BV79" s="299">
        <f t="shared" si="27"/>
        <v>0.08870689288496192</v>
      </c>
      <c r="BW79" s="299">
        <f t="shared" si="27"/>
        <v>0.07976566571741417</v>
      </c>
      <c r="BX79" s="299">
        <f t="shared" si="27"/>
        <v>0.06921114641879278</v>
      </c>
      <c r="BY79" s="299"/>
      <c r="BZ79" s="299">
        <f>(SUM(1+BZ78)/SUM(1+BZ73))-1</f>
        <v>0.07933031660931245</v>
      </c>
      <c r="CA79" s="76"/>
      <c r="CB79" s="76"/>
    </row>
    <row r="80" spans="1:80" ht="12.75">
      <c r="A80" s="129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76"/>
      <c r="CB80" s="76"/>
    </row>
    <row r="81" spans="1:80" ht="12.75">
      <c r="A81" s="129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76"/>
      <c r="CB81" s="76"/>
    </row>
    <row r="82" spans="1:80" ht="12.75">
      <c r="A82" s="129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>
        <v>11321906</v>
      </c>
      <c r="BV82" s="14">
        <v>11548958</v>
      </c>
      <c r="BW82" s="14">
        <f>SUM(BU82:BV82)</f>
        <v>22870864</v>
      </c>
      <c r="BX82" s="14"/>
      <c r="BY82" s="14"/>
      <c r="BZ82" s="14"/>
      <c r="CA82" s="76"/>
      <c r="CB82" s="76"/>
    </row>
    <row r="83" spans="1:80" ht="12.75">
      <c r="A83" s="129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>
        <v>100047523</v>
      </c>
      <c r="BV83" s="14">
        <v>114999340.5</v>
      </c>
      <c r="BW83" s="14">
        <f>SUM(BU83:BV83)</f>
        <v>215046863.5</v>
      </c>
      <c r="BX83" s="14"/>
      <c r="BY83" s="14"/>
      <c r="BZ83" s="14"/>
      <c r="CA83" s="76"/>
      <c r="CB83" s="76"/>
    </row>
    <row r="84" spans="1:80" ht="12.75">
      <c r="A84" s="129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76"/>
      <c r="CB84" s="76"/>
    </row>
    <row r="85" spans="1:80" ht="12.75">
      <c r="A85" s="129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>
        <v>0.1131652804637652</v>
      </c>
      <c r="BV85" s="14">
        <v>0.10042629766211572</v>
      </c>
      <c r="BW85" s="14">
        <f>BW82/BW83</f>
        <v>0.10635292990450892</v>
      </c>
      <c r="BX85" s="14"/>
      <c r="BY85" s="14"/>
      <c r="BZ85" s="14"/>
      <c r="CA85" s="76"/>
      <c r="CB85" s="76"/>
    </row>
    <row r="86" spans="1:80" ht="12.75">
      <c r="A86" s="129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>
        <v>0.0608</v>
      </c>
      <c r="BV86" s="14">
        <v>0.0608</v>
      </c>
      <c r="BW86" s="14">
        <v>0.0608</v>
      </c>
      <c r="BX86" s="14"/>
      <c r="BY86" s="14"/>
      <c r="BZ86" s="14"/>
      <c r="CA86" s="76"/>
      <c r="CB86" s="76"/>
    </row>
    <row r="87" spans="1:80" ht="12.75">
      <c r="A87" s="129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>
        <v>0.0207</v>
      </c>
      <c r="BV87" s="14">
        <v>0.0207</v>
      </c>
      <c r="BW87" s="14">
        <v>0.0207</v>
      </c>
      <c r="BX87" s="14"/>
      <c r="BY87" s="14"/>
      <c r="BZ87" s="14"/>
      <c r="CA87" s="76"/>
      <c r="CB87" s="76"/>
    </row>
    <row r="88" spans="1:80" ht="12.75">
      <c r="A88" s="129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>
        <v>0.08698345052755374</v>
      </c>
      <c r="BV88" s="14">
        <v>0.07576304953477986</v>
      </c>
      <c r="BW88" s="14" t="e">
        <f>(SUM(1+#REF!)/SUM(1+BW87))-1</f>
        <v>#REF!</v>
      </c>
      <c r="BX88" s="14"/>
      <c r="BY88" s="14"/>
      <c r="BZ88" s="14"/>
      <c r="CA88" s="76"/>
      <c r="CB88" s="76"/>
    </row>
    <row r="89" spans="1:80" ht="12.75">
      <c r="A89" s="129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76"/>
      <c r="CB89" s="76"/>
    </row>
    <row r="90" spans="1:80" ht="12.75">
      <c r="A90" s="129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76"/>
      <c r="CB90" s="76"/>
    </row>
    <row r="91" spans="1:80" ht="12.75">
      <c r="A91" s="129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76"/>
      <c r="CB91" s="76"/>
    </row>
    <row r="92" spans="1:80" ht="12.75">
      <c r="A92" s="129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 s="7"/>
      <c r="CB92" s="7"/>
    </row>
    <row r="93" spans="1:80" ht="12.75">
      <c r="A93" s="135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139"/>
      <c r="BT93" s="139"/>
      <c r="BU93" s="139"/>
      <c r="BV93" s="139"/>
      <c r="BW93" s="139"/>
      <c r="BX93" s="139"/>
      <c r="BY93" s="139"/>
      <c r="BZ93" s="139"/>
      <c r="CA93" s="76"/>
      <c r="CB93" s="76"/>
    </row>
    <row r="94" spans="1:80" ht="12.75">
      <c r="A94" s="135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139"/>
      <c r="BT94" s="139"/>
      <c r="BU94" s="139"/>
      <c r="BV94" s="139"/>
      <c r="BW94" s="139"/>
      <c r="BX94" s="139"/>
      <c r="BY94" s="139"/>
      <c r="BZ94" s="139"/>
      <c r="CA94" s="76"/>
      <c r="CB94" s="76"/>
    </row>
    <row r="95" spans="1:80" ht="12.75">
      <c r="A95" s="135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139"/>
      <c r="BT95" s="139"/>
      <c r="BU95" s="139"/>
      <c r="BV95" s="139"/>
      <c r="BW95" s="139"/>
      <c r="BX95" s="139"/>
      <c r="BY95" s="139"/>
      <c r="BZ95" s="139"/>
      <c r="CA95" s="7"/>
      <c r="CB95" s="7"/>
    </row>
    <row r="96" spans="1:80" ht="9.75" customHeight="1">
      <c r="A96" s="129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133"/>
      <c r="BT96" s="133"/>
      <c r="BU96" s="133"/>
      <c r="BV96" s="133"/>
      <c r="BW96" s="133"/>
      <c r="BX96" s="133"/>
      <c r="BY96" s="133"/>
      <c r="BZ96" s="133"/>
      <c r="CA96" s="76"/>
      <c r="CB96" s="76"/>
    </row>
    <row r="97" spans="1:80" ht="12.75">
      <c r="A97" s="130"/>
      <c r="CA97" s="7"/>
      <c r="CB97" s="7"/>
    </row>
    <row r="98" spans="1:80" ht="12.75">
      <c r="A98" s="131"/>
      <c r="CA98" s="76"/>
      <c r="CB98" s="76"/>
    </row>
    <row r="99" spans="1:80" ht="7.5" customHeight="1">
      <c r="A99" s="131"/>
      <c r="CA99" s="7"/>
      <c r="CB99" s="7"/>
    </row>
    <row r="100" spans="1:80" ht="12.75">
      <c r="A100" s="130"/>
      <c r="CA100" s="76"/>
      <c r="CB100" s="76"/>
    </row>
    <row r="101" spans="1:80" ht="12.75">
      <c r="A101" s="132"/>
      <c r="B101" s="209"/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09"/>
      <c r="AT101" s="209"/>
      <c r="AU101" s="209"/>
      <c r="AV101" s="209"/>
      <c r="AW101" s="209"/>
      <c r="AX101" s="209"/>
      <c r="AY101" s="209"/>
      <c r="AZ101" s="209"/>
      <c r="BA101" s="209"/>
      <c r="BB101" s="209"/>
      <c r="BC101" s="209"/>
      <c r="BD101" s="209"/>
      <c r="BE101" s="209"/>
      <c r="BF101" s="209"/>
      <c r="BG101" s="209"/>
      <c r="BH101" s="209"/>
      <c r="BI101" s="209"/>
      <c r="BJ101" s="209"/>
      <c r="BK101" s="209"/>
      <c r="BL101" s="209"/>
      <c r="BM101" s="209"/>
      <c r="BN101" s="209"/>
      <c r="BO101" s="209"/>
      <c r="BP101" s="209"/>
      <c r="BQ101" s="209"/>
      <c r="BR101" s="209"/>
      <c r="BS101" s="209"/>
      <c r="BT101" s="209"/>
      <c r="BU101" s="209"/>
      <c r="BV101" s="209"/>
      <c r="BW101" s="209"/>
      <c r="BX101" s="209"/>
      <c r="BY101" s="209"/>
      <c r="BZ101" s="209"/>
      <c r="CA101" s="76"/>
      <c r="CB101" s="76"/>
    </row>
    <row r="102" spans="1:80" ht="12.75">
      <c r="A102" s="132"/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9"/>
      <c r="AT102" s="209"/>
      <c r="AU102" s="209"/>
      <c r="AV102" s="209"/>
      <c r="AW102" s="209"/>
      <c r="AX102" s="209"/>
      <c r="AY102" s="209"/>
      <c r="AZ102" s="209"/>
      <c r="BA102" s="209"/>
      <c r="BB102" s="209"/>
      <c r="BC102" s="209"/>
      <c r="BD102" s="209"/>
      <c r="BE102" s="209"/>
      <c r="BF102" s="209"/>
      <c r="BG102" s="209"/>
      <c r="BH102" s="209"/>
      <c r="BI102" s="209"/>
      <c r="BJ102" s="209"/>
      <c r="BK102" s="209"/>
      <c r="BL102" s="209"/>
      <c r="BM102" s="209"/>
      <c r="BN102" s="209"/>
      <c r="BO102" s="209"/>
      <c r="BP102" s="209"/>
      <c r="BQ102" s="209"/>
      <c r="BR102" s="209"/>
      <c r="BS102" s="209"/>
      <c r="BT102" s="209"/>
      <c r="BU102" s="209"/>
      <c r="BV102" s="209"/>
      <c r="BW102" s="209"/>
      <c r="BX102" s="209"/>
      <c r="BY102" s="209"/>
      <c r="BZ102" s="209"/>
      <c r="CA102" s="76"/>
      <c r="CB102" s="76"/>
    </row>
    <row r="103" spans="1:80" ht="12.75">
      <c r="A103" s="132"/>
      <c r="B103" s="209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09"/>
      <c r="AT103" s="209"/>
      <c r="AU103" s="209"/>
      <c r="AV103" s="209"/>
      <c r="AW103" s="209"/>
      <c r="AX103" s="209"/>
      <c r="AY103" s="209"/>
      <c r="AZ103" s="209"/>
      <c r="BA103" s="209"/>
      <c r="BB103" s="209"/>
      <c r="BC103" s="209"/>
      <c r="BD103" s="209"/>
      <c r="BE103" s="209"/>
      <c r="BF103" s="209"/>
      <c r="BG103" s="209"/>
      <c r="BH103" s="209"/>
      <c r="BI103" s="209"/>
      <c r="BJ103" s="209"/>
      <c r="BK103" s="209"/>
      <c r="BL103" s="209"/>
      <c r="BM103" s="209"/>
      <c r="BN103" s="209"/>
      <c r="BO103" s="209"/>
      <c r="BP103" s="209"/>
      <c r="BQ103" s="209"/>
      <c r="BR103" s="209"/>
      <c r="BS103" s="209"/>
      <c r="BT103" s="209"/>
      <c r="BU103" s="209"/>
      <c r="BV103" s="209"/>
      <c r="BW103" s="209"/>
      <c r="BX103" s="209"/>
      <c r="BY103" s="209"/>
      <c r="BZ103" s="209"/>
      <c r="CA103" s="11"/>
      <c r="CB103" s="11"/>
    </row>
    <row r="104" spans="1:80" ht="12.75">
      <c r="A104" s="132"/>
      <c r="B104" s="209"/>
      <c r="C104" s="20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09"/>
      <c r="AT104" s="209"/>
      <c r="AU104" s="209"/>
      <c r="AV104" s="209"/>
      <c r="AW104" s="209"/>
      <c r="AX104" s="209"/>
      <c r="AY104" s="209"/>
      <c r="AZ104" s="209"/>
      <c r="BA104" s="209"/>
      <c r="BB104" s="209"/>
      <c r="BC104" s="209"/>
      <c r="BD104" s="209"/>
      <c r="BE104" s="209"/>
      <c r="BF104" s="209"/>
      <c r="BG104" s="209"/>
      <c r="BH104" s="209"/>
      <c r="BI104" s="209"/>
      <c r="BJ104" s="209"/>
      <c r="BK104" s="209"/>
      <c r="BL104" s="209"/>
      <c r="BM104" s="209"/>
      <c r="BN104" s="209"/>
      <c r="BO104" s="209"/>
      <c r="BP104" s="209"/>
      <c r="BQ104" s="209"/>
      <c r="BR104" s="209"/>
      <c r="BS104" s="209"/>
      <c r="BT104" s="209"/>
      <c r="BU104" s="209"/>
      <c r="BV104" s="209"/>
      <c r="BW104" s="209"/>
      <c r="BX104" s="209"/>
      <c r="BY104" s="209"/>
      <c r="BZ104" s="209"/>
      <c r="CA104" s="7"/>
      <c r="CB104" s="7"/>
    </row>
    <row r="105" spans="1:80" ht="12.75">
      <c r="A105" s="132"/>
      <c r="B105" s="209"/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09"/>
      <c r="AH105" s="209"/>
      <c r="AI105" s="209"/>
      <c r="AJ105" s="209"/>
      <c r="AK105" s="209"/>
      <c r="AL105" s="209"/>
      <c r="AM105" s="209"/>
      <c r="AN105" s="209"/>
      <c r="AO105" s="209"/>
      <c r="AP105" s="209"/>
      <c r="AQ105" s="209"/>
      <c r="AR105" s="209"/>
      <c r="AS105" s="209"/>
      <c r="AT105" s="209"/>
      <c r="AU105" s="209"/>
      <c r="AV105" s="209"/>
      <c r="AW105" s="209"/>
      <c r="AX105" s="209"/>
      <c r="AY105" s="209"/>
      <c r="AZ105" s="209"/>
      <c r="BA105" s="209"/>
      <c r="BB105" s="209"/>
      <c r="BC105" s="209"/>
      <c r="BD105" s="209"/>
      <c r="BE105" s="209"/>
      <c r="BF105" s="209"/>
      <c r="BG105" s="209"/>
      <c r="BH105" s="209"/>
      <c r="BI105" s="209"/>
      <c r="BJ105" s="209"/>
      <c r="BK105" s="209"/>
      <c r="BL105" s="209"/>
      <c r="BM105" s="209"/>
      <c r="BN105" s="209"/>
      <c r="BO105" s="209"/>
      <c r="BP105" s="209"/>
      <c r="BQ105" s="209"/>
      <c r="BR105" s="209"/>
      <c r="BS105" s="209"/>
      <c r="BT105" s="209"/>
      <c r="BU105" s="209"/>
      <c r="BV105" s="209"/>
      <c r="BW105" s="209"/>
      <c r="BX105" s="209"/>
      <c r="BY105" s="209"/>
      <c r="BZ105" s="209"/>
      <c r="CA105" s="76"/>
      <c r="CB105" s="76"/>
    </row>
    <row r="106" spans="1:80" ht="12.75">
      <c r="A106" s="132"/>
      <c r="B106" s="209"/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209"/>
      <c r="BD106" s="209"/>
      <c r="BE106" s="209"/>
      <c r="BF106" s="209"/>
      <c r="BG106" s="209"/>
      <c r="BH106" s="209"/>
      <c r="BI106" s="209"/>
      <c r="BJ106" s="209"/>
      <c r="BK106" s="209"/>
      <c r="BL106" s="209"/>
      <c r="BM106" s="209"/>
      <c r="BN106" s="209"/>
      <c r="BO106" s="209"/>
      <c r="BP106" s="209"/>
      <c r="BQ106" s="209"/>
      <c r="BR106" s="209"/>
      <c r="BS106" s="209"/>
      <c r="BT106" s="209"/>
      <c r="BU106" s="209"/>
      <c r="BV106" s="209"/>
      <c r="BW106" s="209"/>
      <c r="BX106" s="209"/>
      <c r="BY106" s="209"/>
      <c r="BZ106" s="209"/>
      <c r="CA106" s="7"/>
      <c r="CB106" s="7"/>
    </row>
    <row r="107" spans="1:80" ht="12.75">
      <c r="A107" s="132"/>
      <c r="B107" s="209"/>
      <c r="C107" s="209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9"/>
      <c r="AM107" s="209"/>
      <c r="AN107" s="209"/>
      <c r="AO107" s="209"/>
      <c r="AP107" s="209"/>
      <c r="AQ107" s="209"/>
      <c r="AR107" s="209"/>
      <c r="AS107" s="209"/>
      <c r="AT107" s="209"/>
      <c r="AU107" s="209"/>
      <c r="AV107" s="209"/>
      <c r="AW107" s="209"/>
      <c r="AX107" s="209"/>
      <c r="AY107" s="209"/>
      <c r="AZ107" s="209"/>
      <c r="BA107" s="209"/>
      <c r="BB107" s="209"/>
      <c r="BC107" s="209"/>
      <c r="BD107" s="209"/>
      <c r="BE107" s="209"/>
      <c r="BF107" s="209"/>
      <c r="BG107" s="209"/>
      <c r="BH107" s="209"/>
      <c r="BI107" s="209"/>
      <c r="BJ107" s="209"/>
      <c r="BK107" s="209"/>
      <c r="BL107" s="209"/>
      <c r="BM107" s="209"/>
      <c r="BN107" s="209"/>
      <c r="BO107" s="209"/>
      <c r="BP107" s="209"/>
      <c r="BQ107" s="209"/>
      <c r="BR107" s="209"/>
      <c r="BS107" s="209"/>
      <c r="BT107" s="209"/>
      <c r="BU107" s="209"/>
      <c r="BV107" s="209"/>
      <c r="BW107" s="209"/>
      <c r="BX107" s="209"/>
      <c r="BY107" s="209"/>
      <c r="BZ107" s="209"/>
      <c r="CA107" s="76"/>
      <c r="CB107" s="76"/>
    </row>
    <row r="108" spans="1:80" ht="12.75">
      <c r="A108" s="132"/>
      <c r="B108" s="209"/>
      <c r="C108" s="209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9"/>
      <c r="AM108" s="209"/>
      <c r="AN108" s="209"/>
      <c r="AO108" s="209"/>
      <c r="AP108" s="209"/>
      <c r="AQ108" s="209"/>
      <c r="AR108" s="209"/>
      <c r="AS108" s="209"/>
      <c r="AT108" s="209"/>
      <c r="AU108" s="209"/>
      <c r="AV108" s="209"/>
      <c r="AW108" s="209"/>
      <c r="AX108" s="209"/>
      <c r="AY108" s="209"/>
      <c r="AZ108" s="209"/>
      <c r="BA108" s="209"/>
      <c r="BB108" s="209"/>
      <c r="BC108" s="209"/>
      <c r="BD108" s="209"/>
      <c r="BE108" s="209"/>
      <c r="BF108" s="209"/>
      <c r="BG108" s="209"/>
      <c r="BH108" s="209"/>
      <c r="BI108" s="209"/>
      <c r="BJ108" s="209"/>
      <c r="BK108" s="209"/>
      <c r="BL108" s="209"/>
      <c r="BM108" s="209"/>
      <c r="BN108" s="209"/>
      <c r="BO108" s="209"/>
      <c r="BP108" s="209"/>
      <c r="BQ108" s="209"/>
      <c r="BR108" s="209"/>
      <c r="BS108" s="209"/>
      <c r="BT108" s="209"/>
      <c r="BU108" s="209"/>
      <c r="BV108" s="209"/>
      <c r="BW108" s="209"/>
      <c r="BX108" s="209"/>
      <c r="BY108" s="209"/>
      <c r="BZ108" s="209"/>
      <c r="CA108" s="76"/>
      <c r="CB108" s="76"/>
    </row>
    <row r="109" spans="1:80" ht="12.75">
      <c r="A109" s="132"/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  <c r="AN109" s="209"/>
      <c r="AO109" s="209"/>
      <c r="AP109" s="209"/>
      <c r="AQ109" s="209"/>
      <c r="AR109" s="209"/>
      <c r="AS109" s="209"/>
      <c r="AT109" s="209"/>
      <c r="AU109" s="209"/>
      <c r="AV109" s="209"/>
      <c r="AW109" s="209"/>
      <c r="AX109" s="209"/>
      <c r="AY109" s="209"/>
      <c r="AZ109" s="209"/>
      <c r="BA109" s="209"/>
      <c r="BB109" s="209"/>
      <c r="BC109" s="209"/>
      <c r="BD109" s="209"/>
      <c r="BE109" s="209"/>
      <c r="BF109" s="209"/>
      <c r="BG109" s="209"/>
      <c r="BH109" s="209"/>
      <c r="BI109" s="209"/>
      <c r="BJ109" s="209"/>
      <c r="BK109" s="209"/>
      <c r="BL109" s="209"/>
      <c r="BM109" s="209"/>
      <c r="BN109" s="209"/>
      <c r="BO109" s="209"/>
      <c r="BP109" s="209"/>
      <c r="BQ109" s="209"/>
      <c r="BR109" s="209"/>
      <c r="BS109" s="209"/>
      <c r="BT109" s="209"/>
      <c r="BU109" s="209"/>
      <c r="BV109" s="209"/>
      <c r="BW109" s="209"/>
      <c r="BX109" s="209"/>
      <c r="BY109" s="209"/>
      <c r="BZ109" s="209"/>
      <c r="CA109" s="7"/>
      <c r="CB109" s="7"/>
    </row>
    <row r="110" spans="1:80" ht="12.75">
      <c r="A110" s="132"/>
      <c r="B110" s="209"/>
      <c r="C110" s="209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9"/>
      <c r="AG110" s="209"/>
      <c r="AH110" s="209"/>
      <c r="AI110" s="209"/>
      <c r="AJ110" s="209"/>
      <c r="AK110" s="209"/>
      <c r="AL110" s="209"/>
      <c r="AM110" s="209"/>
      <c r="AN110" s="209"/>
      <c r="AO110" s="209"/>
      <c r="AP110" s="209"/>
      <c r="AQ110" s="209"/>
      <c r="AR110" s="209"/>
      <c r="AS110" s="209"/>
      <c r="AT110" s="209"/>
      <c r="AU110" s="209"/>
      <c r="AV110" s="209"/>
      <c r="AW110" s="209"/>
      <c r="AX110" s="209"/>
      <c r="AY110" s="209"/>
      <c r="AZ110" s="209"/>
      <c r="BA110" s="209"/>
      <c r="BB110" s="209"/>
      <c r="BC110" s="209"/>
      <c r="BD110" s="209"/>
      <c r="BE110" s="209"/>
      <c r="BF110" s="209"/>
      <c r="BG110" s="209"/>
      <c r="BH110" s="209"/>
      <c r="BI110" s="209"/>
      <c r="BJ110" s="209"/>
      <c r="BK110" s="209"/>
      <c r="BL110" s="209"/>
      <c r="BM110" s="209"/>
      <c r="BN110" s="209"/>
      <c r="BO110" s="209"/>
      <c r="BP110" s="209"/>
      <c r="BQ110" s="209"/>
      <c r="BR110" s="209"/>
      <c r="BS110" s="209"/>
      <c r="BT110" s="209"/>
      <c r="BU110" s="209"/>
      <c r="BV110" s="209"/>
      <c r="BW110" s="209"/>
      <c r="BX110" s="209"/>
      <c r="BY110" s="209"/>
      <c r="BZ110" s="209"/>
      <c r="CA110" s="76"/>
      <c r="CB110" s="76"/>
    </row>
    <row r="111" spans="1:78" ht="12.75">
      <c r="A111" s="132"/>
      <c r="B111" s="209"/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/>
      <c r="AH111" s="209"/>
      <c r="AI111" s="209"/>
      <c r="AJ111" s="209"/>
      <c r="AK111" s="209"/>
      <c r="AL111" s="209"/>
      <c r="AM111" s="209"/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09"/>
      <c r="BC111" s="209"/>
      <c r="BD111" s="209"/>
      <c r="BE111" s="209"/>
      <c r="BF111" s="209"/>
      <c r="BG111" s="209"/>
      <c r="BH111" s="209"/>
      <c r="BI111" s="209"/>
      <c r="BJ111" s="209"/>
      <c r="BK111" s="209"/>
      <c r="BL111" s="209"/>
      <c r="BM111" s="209"/>
      <c r="BN111" s="209"/>
      <c r="BO111" s="209"/>
      <c r="BP111" s="209"/>
      <c r="BQ111" s="209"/>
      <c r="BR111" s="209"/>
      <c r="BS111" s="209"/>
      <c r="BT111" s="209"/>
      <c r="BU111" s="209"/>
      <c r="BV111" s="209"/>
      <c r="BW111" s="209"/>
      <c r="BX111" s="209"/>
      <c r="BY111" s="209"/>
      <c r="BZ111" s="209"/>
    </row>
    <row r="112" spans="1:78" ht="12.75">
      <c r="A112" s="132"/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9"/>
      <c r="AG112" s="209"/>
      <c r="AH112" s="209"/>
      <c r="AI112" s="209"/>
      <c r="AJ112" s="209"/>
      <c r="AK112" s="209"/>
      <c r="AL112" s="209"/>
      <c r="AM112" s="209"/>
      <c r="AN112" s="209"/>
      <c r="AO112" s="209"/>
      <c r="AP112" s="209"/>
      <c r="AQ112" s="209"/>
      <c r="AR112" s="209"/>
      <c r="AS112" s="209"/>
      <c r="AT112" s="209"/>
      <c r="AU112" s="209"/>
      <c r="AV112" s="209"/>
      <c r="AW112" s="209"/>
      <c r="AX112" s="209"/>
      <c r="AY112" s="209"/>
      <c r="AZ112" s="209"/>
      <c r="BA112" s="209"/>
      <c r="BB112" s="209"/>
      <c r="BC112" s="209"/>
      <c r="BD112" s="209"/>
      <c r="BE112" s="209"/>
      <c r="BF112" s="209"/>
      <c r="BG112" s="209"/>
      <c r="BH112" s="209"/>
      <c r="BI112" s="209"/>
      <c r="BJ112" s="209"/>
      <c r="BK112" s="209"/>
      <c r="BL112" s="209"/>
      <c r="BM112" s="209"/>
      <c r="BN112" s="209"/>
      <c r="BO112" s="209"/>
      <c r="BP112" s="209"/>
      <c r="BQ112" s="209"/>
      <c r="BR112" s="209"/>
      <c r="BS112" s="209"/>
      <c r="BT112" s="209"/>
      <c r="BU112" s="209"/>
      <c r="BV112" s="209"/>
      <c r="BW112" s="209"/>
      <c r="BX112" s="209"/>
      <c r="BY112" s="209"/>
      <c r="BZ112" s="209"/>
    </row>
    <row r="113" spans="1:78" ht="12.75">
      <c r="A113" s="132"/>
      <c r="B113" s="209"/>
      <c r="C113" s="209"/>
      <c r="D113" s="209"/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/>
      <c r="AH113" s="209"/>
      <c r="AI113" s="209"/>
      <c r="AJ113" s="209"/>
      <c r="AK113" s="209"/>
      <c r="AL113" s="209"/>
      <c r="AM113" s="209"/>
      <c r="AN113" s="209"/>
      <c r="AO113" s="209"/>
      <c r="AP113" s="209"/>
      <c r="AQ113" s="209"/>
      <c r="AR113" s="209"/>
      <c r="AS113" s="209"/>
      <c r="AT113" s="209"/>
      <c r="AU113" s="209"/>
      <c r="AV113" s="209"/>
      <c r="AW113" s="209"/>
      <c r="AX113" s="209"/>
      <c r="AY113" s="209"/>
      <c r="AZ113" s="209"/>
      <c r="BA113" s="209"/>
      <c r="BB113" s="209"/>
      <c r="BC113" s="209"/>
      <c r="BD113" s="209"/>
      <c r="BE113" s="209"/>
      <c r="BF113" s="209"/>
      <c r="BG113" s="209"/>
      <c r="BH113" s="209"/>
      <c r="BI113" s="209"/>
      <c r="BJ113" s="209"/>
      <c r="BK113" s="209"/>
      <c r="BL113" s="209"/>
      <c r="BM113" s="209"/>
      <c r="BN113" s="209"/>
      <c r="BO113" s="209"/>
      <c r="BP113" s="209"/>
      <c r="BQ113" s="209"/>
      <c r="BR113" s="209"/>
      <c r="BS113" s="209"/>
      <c r="BT113" s="209"/>
      <c r="BU113" s="209"/>
      <c r="BV113" s="209"/>
      <c r="BW113" s="209"/>
      <c r="BX113" s="209"/>
      <c r="BY113" s="209"/>
      <c r="BZ113" s="209"/>
    </row>
    <row r="114" spans="1:78" ht="12.75">
      <c r="A114" s="132"/>
      <c r="B114" s="209"/>
      <c r="C114" s="209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9"/>
      <c r="AG114" s="209"/>
      <c r="AH114" s="209"/>
      <c r="AI114" s="209"/>
      <c r="AJ114" s="209"/>
      <c r="AK114" s="209"/>
      <c r="AL114" s="209"/>
      <c r="AM114" s="209"/>
      <c r="AN114" s="209"/>
      <c r="AO114" s="209"/>
      <c r="AP114" s="209"/>
      <c r="AQ114" s="209"/>
      <c r="AR114" s="209"/>
      <c r="AS114" s="209"/>
      <c r="AT114" s="209"/>
      <c r="AU114" s="209"/>
      <c r="AV114" s="209"/>
      <c r="AW114" s="209"/>
      <c r="AX114" s="209"/>
      <c r="AY114" s="209"/>
      <c r="AZ114" s="209"/>
      <c r="BA114" s="209"/>
      <c r="BB114" s="209"/>
      <c r="BC114" s="209"/>
      <c r="BD114" s="209"/>
      <c r="BE114" s="209"/>
      <c r="BF114" s="209"/>
      <c r="BG114" s="209"/>
      <c r="BH114" s="209"/>
      <c r="BI114" s="209"/>
      <c r="BJ114" s="209"/>
      <c r="BK114" s="209"/>
      <c r="BL114" s="209"/>
      <c r="BM114" s="209"/>
      <c r="BN114" s="209"/>
      <c r="BO114" s="209"/>
      <c r="BP114" s="209"/>
      <c r="BQ114" s="209"/>
      <c r="BR114" s="209"/>
      <c r="BS114" s="209"/>
      <c r="BT114" s="209"/>
      <c r="BU114" s="209"/>
      <c r="BV114" s="209"/>
      <c r="BW114" s="209"/>
      <c r="BX114" s="209"/>
      <c r="BY114" s="209"/>
      <c r="BZ114" s="209"/>
    </row>
    <row r="115" spans="1:78" ht="12.75">
      <c r="A115" s="132"/>
      <c r="B115" s="209"/>
      <c r="C115" s="209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/>
      <c r="AH115" s="209"/>
      <c r="AI115" s="209"/>
      <c r="AJ115" s="209"/>
      <c r="AK115" s="209"/>
      <c r="AL115" s="209"/>
      <c r="AM115" s="209"/>
      <c r="AN115" s="209"/>
      <c r="AO115" s="209"/>
      <c r="AP115" s="209"/>
      <c r="AQ115" s="209"/>
      <c r="AR115" s="209"/>
      <c r="AS115" s="209"/>
      <c r="AT115" s="209"/>
      <c r="AU115" s="209"/>
      <c r="AV115" s="209"/>
      <c r="AW115" s="209"/>
      <c r="AX115" s="209"/>
      <c r="AY115" s="209"/>
      <c r="AZ115" s="209"/>
      <c r="BA115" s="209"/>
      <c r="BB115" s="209"/>
      <c r="BC115" s="209"/>
      <c r="BD115" s="209"/>
      <c r="BE115" s="209"/>
      <c r="BF115" s="209"/>
      <c r="BG115" s="209"/>
      <c r="BH115" s="209"/>
      <c r="BI115" s="209"/>
      <c r="BJ115" s="209"/>
      <c r="BK115" s="209"/>
      <c r="BL115" s="209"/>
      <c r="BM115" s="209"/>
      <c r="BN115" s="209"/>
      <c r="BO115" s="209"/>
      <c r="BP115" s="209"/>
      <c r="BQ115" s="209"/>
      <c r="BR115" s="209"/>
      <c r="BS115" s="209"/>
      <c r="BT115" s="209"/>
      <c r="BU115" s="209"/>
      <c r="BV115" s="209"/>
      <c r="BW115" s="209"/>
      <c r="BX115" s="209"/>
      <c r="BY115" s="209"/>
      <c r="BZ115" s="209"/>
    </row>
    <row r="116" spans="1:78" ht="7.5" customHeight="1">
      <c r="A116" s="133"/>
      <c r="B116" s="209"/>
      <c r="C116" s="20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09"/>
      <c r="AG116" s="209"/>
      <c r="AH116" s="209"/>
      <c r="AI116" s="209"/>
      <c r="AJ116" s="209"/>
      <c r="AK116" s="209"/>
      <c r="AL116" s="209"/>
      <c r="AM116" s="209"/>
      <c r="AN116" s="209"/>
      <c r="AO116" s="209"/>
      <c r="AP116" s="209"/>
      <c r="AQ116" s="209"/>
      <c r="AR116" s="209"/>
      <c r="AS116" s="209"/>
      <c r="AT116" s="209"/>
      <c r="AU116" s="209"/>
      <c r="AV116" s="209"/>
      <c r="AW116" s="209"/>
      <c r="AX116" s="209"/>
      <c r="AY116" s="209"/>
      <c r="AZ116" s="209"/>
      <c r="BA116" s="209"/>
      <c r="BB116" s="209"/>
      <c r="BC116" s="209"/>
      <c r="BD116" s="209"/>
      <c r="BE116" s="209"/>
      <c r="BF116" s="209"/>
      <c r="BG116" s="209"/>
      <c r="BH116" s="209"/>
      <c r="BI116" s="209"/>
      <c r="BJ116" s="209"/>
      <c r="BK116" s="209"/>
      <c r="BL116" s="209"/>
      <c r="BM116" s="209"/>
      <c r="BN116" s="209"/>
      <c r="BO116" s="209"/>
      <c r="BP116" s="209"/>
      <c r="BQ116" s="209"/>
      <c r="BR116" s="209"/>
      <c r="BS116" s="209"/>
      <c r="BT116" s="209"/>
      <c r="BU116" s="209"/>
      <c r="BV116" s="209"/>
      <c r="BW116" s="209"/>
      <c r="BX116" s="209"/>
      <c r="BY116" s="209"/>
      <c r="BZ116" s="209"/>
    </row>
    <row r="117" spans="1:78" ht="12.75">
      <c r="A117" s="130"/>
      <c r="B117" s="209"/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09"/>
      <c r="AG117" s="209"/>
      <c r="AH117" s="209"/>
      <c r="AI117" s="209"/>
      <c r="AJ117" s="209"/>
      <c r="AK117" s="209"/>
      <c r="AL117" s="209"/>
      <c r="AM117" s="209"/>
      <c r="AN117" s="209"/>
      <c r="AO117" s="209"/>
      <c r="AP117" s="209"/>
      <c r="AQ117" s="209"/>
      <c r="AR117" s="209"/>
      <c r="AS117" s="209"/>
      <c r="AT117" s="209"/>
      <c r="AU117" s="209"/>
      <c r="AV117" s="209"/>
      <c r="AW117" s="209"/>
      <c r="AX117" s="209"/>
      <c r="AY117" s="209"/>
      <c r="AZ117" s="209"/>
      <c r="BA117" s="209"/>
      <c r="BB117" s="209"/>
      <c r="BC117" s="209"/>
      <c r="BD117" s="209"/>
      <c r="BE117" s="209"/>
      <c r="BF117" s="209"/>
      <c r="BG117" s="209"/>
      <c r="BH117" s="209"/>
      <c r="BI117" s="209"/>
      <c r="BJ117" s="209"/>
      <c r="BK117" s="209"/>
      <c r="BL117" s="209"/>
      <c r="BM117" s="209"/>
      <c r="BN117" s="209"/>
      <c r="BO117" s="209"/>
      <c r="BP117" s="209"/>
      <c r="BQ117" s="209"/>
      <c r="BR117" s="209"/>
      <c r="BS117" s="209"/>
      <c r="BT117" s="209"/>
      <c r="BU117" s="209"/>
      <c r="BV117" s="209"/>
      <c r="BW117" s="209"/>
      <c r="BX117" s="209"/>
      <c r="BY117" s="209"/>
      <c r="BZ117" s="209"/>
    </row>
    <row r="118" spans="1:78" ht="7.5" customHeight="1">
      <c r="A118" s="133"/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  <c r="AH118" s="209"/>
      <c r="AI118" s="209"/>
      <c r="AJ118" s="209"/>
      <c r="AK118" s="209"/>
      <c r="AL118" s="209"/>
      <c r="AM118" s="209"/>
      <c r="AN118" s="209"/>
      <c r="AO118" s="209"/>
      <c r="AP118" s="209"/>
      <c r="AQ118" s="209"/>
      <c r="AR118" s="209"/>
      <c r="AS118" s="209"/>
      <c r="AT118" s="209"/>
      <c r="AU118" s="209"/>
      <c r="AV118" s="209"/>
      <c r="AW118" s="209"/>
      <c r="AX118" s="209"/>
      <c r="AY118" s="209"/>
      <c r="AZ118" s="209"/>
      <c r="BA118" s="209"/>
      <c r="BB118" s="209"/>
      <c r="BC118" s="209"/>
      <c r="BD118" s="209"/>
      <c r="BE118" s="209"/>
      <c r="BF118" s="209"/>
      <c r="BG118" s="209"/>
      <c r="BH118" s="209"/>
      <c r="BI118" s="209"/>
      <c r="BJ118" s="209"/>
      <c r="BK118" s="209"/>
      <c r="BL118" s="209"/>
      <c r="BM118" s="209"/>
      <c r="BN118" s="209"/>
      <c r="BO118" s="209"/>
      <c r="BP118" s="209"/>
      <c r="BQ118" s="209"/>
      <c r="BR118" s="209"/>
      <c r="BS118" s="209"/>
      <c r="BT118" s="209"/>
      <c r="BU118" s="209"/>
      <c r="BV118" s="209"/>
      <c r="BW118" s="209"/>
      <c r="BX118" s="209"/>
      <c r="BY118" s="209"/>
      <c r="BZ118" s="209"/>
    </row>
    <row r="119" spans="1:78" ht="12.75">
      <c r="A119" s="130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9"/>
      <c r="AM119" s="209"/>
      <c r="AN119" s="209"/>
      <c r="AO119" s="209"/>
      <c r="AP119" s="209"/>
      <c r="AQ119" s="209"/>
      <c r="AR119" s="209"/>
      <c r="AS119" s="209"/>
      <c r="AT119" s="209"/>
      <c r="AU119" s="209"/>
      <c r="AV119" s="209"/>
      <c r="AW119" s="209"/>
      <c r="AX119" s="209"/>
      <c r="AY119" s="209"/>
      <c r="AZ119" s="209"/>
      <c r="BA119" s="209"/>
      <c r="BB119" s="209"/>
      <c r="BC119" s="209"/>
      <c r="BD119" s="209"/>
      <c r="BE119" s="209"/>
      <c r="BF119" s="209"/>
      <c r="BG119" s="209"/>
      <c r="BH119" s="209"/>
      <c r="BI119" s="209"/>
      <c r="BJ119" s="209"/>
      <c r="BK119" s="209"/>
      <c r="BL119" s="209"/>
      <c r="BM119" s="209"/>
      <c r="BN119" s="209"/>
      <c r="BO119" s="209"/>
      <c r="BP119" s="209"/>
      <c r="BQ119" s="209"/>
      <c r="BR119" s="209"/>
      <c r="BS119" s="209"/>
      <c r="BT119" s="209"/>
      <c r="BU119" s="209"/>
      <c r="BV119" s="209"/>
      <c r="BW119" s="209"/>
      <c r="BX119" s="209"/>
      <c r="BY119" s="209"/>
      <c r="BZ119" s="209"/>
    </row>
    <row r="120" spans="1:78" ht="12.75">
      <c r="A120" s="132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  <c r="AN120" s="209"/>
      <c r="AO120" s="209"/>
      <c r="AP120" s="209"/>
      <c r="AQ120" s="209"/>
      <c r="AR120" s="209"/>
      <c r="AS120" s="209"/>
      <c r="AT120" s="209"/>
      <c r="AU120" s="209"/>
      <c r="AV120" s="209"/>
      <c r="AW120" s="209"/>
      <c r="AX120" s="209"/>
      <c r="AY120" s="209"/>
      <c r="AZ120" s="209"/>
      <c r="BA120" s="209"/>
      <c r="BB120" s="209"/>
      <c r="BC120" s="209"/>
      <c r="BD120" s="209"/>
      <c r="BE120" s="209"/>
      <c r="BF120" s="209"/>
      <c r="BG120" s="209"/>
      <c r="BH120" s="209"/>
      <c r="BI120" s="209"/>
      <c r="BJ120" s="209"/>
      <c r="BK120" s="209"/>
      <c r="BL120" s="209"/>
      <c r="BM120" s="209"/>
      <c r="BN120" s="209"/>
      <c r="BO120" s="209"/>
      <c r="BP120" s="209"/>
      <c r="BQ120" s="209"/>
      <c r="BR120" s="209"/>
      <c r="BS120" s="209"/>
      <c r="BT120" s="209"/>
      <c r="BU120" s="209"/>
      <c r="BV120" s="209"/>
      <c r="BW120" s="209"/>
      <c r="BX120" s="209"/>
      <c r="BY120" s="209"/>
      <c r="BZ120" s="209"/>
    </row>
    <row r="121" spans="1:78" ht="12.75">
      <c r="A121" s="132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  <c r="AN121" s="209"/>
      <c r="AO121" s="209"/>
      <c r="AP121" s="209"/>
      <c r="AQ121" s="209"/>
      <c r="AR121" s="209"/>
      <c r="AS121" s="209"/>
      <c r="AT121" s="209"/>
      <c r="AU121" s="209"/>
      <c r="AV121" s="209"/>
      <c r="AW121" s="209"/>
      <c r="AX121" s="209"/>
      <c r="AY121" s="209"/>
      <c r="AZ121" s="209"/>
      <c r="BA121" s="209"/>
      <c r="BB121" s="209"/>
      <c r="BC121" s="209"/>
      <c r="BD121" s="209"/>
      <c r="BE121" s="209"/>
      <c r="BF121" s="209"/>
      <c r="BG121" s="209"/>
      <c r="BH121" s="209"/>
      <c r="BI121" s="209"/>
      <c r="BJ121" s="209"/>
      <c r="BK121" s="209"/>
      <c r="BL121" s="209"/>
      <c r="BM121" s="209"/>
      <c r="BN121" s="209"/>
      <c r="BO121" s="209"/>
      <c r="BP121" s="209"/>
      <c r="BQ121" s="209"/>
      <c r="BR121" s="209"/>
      <c r="BS121" s="209"/>
      <c r="BT121" s="209"/>
      <c r="BU121" s="209"/>
      <c r="BV121" s="209"/>
      <c r="BW121" s="209"/>
      <c r="BX121" s="209"/>
      <c r="BY121" s="209"/>
      <c r="BZ121" s="209"/>
    </row>
    <row r="122" spans="1:78" ht="12.75">
      <c r="A122" s="132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  <c r="AN122" s="209"/>
      <c r="AO122" s="209"/>
      <c r="AP122" s="209"/>
      <c r="AQ122" s="209"/>
      <c r="AR122" s="209"/>
      <c r="AS122" s="209"/>
      <c r="AT122" s="209"/>
      <c r="AU122" s="209"/>
      <c r="AV122" s="209"/>
      <c r="AW122" s="209"/>
      <c r="AX122" s="209"/>
      <c r="AY122" s="209"/>
      <c r="AZ122" s="209"/>
      <c r="BA122" s="209"/>
      <c r="BB122" s="209"/>
      <c r="BC122" s="209"/>
      <c r="BD122" s="209"/>
      <c r="BE122" s="209"/>
      <c r="BF122" s="209"/>
      <c r="BG122" s="209"/>
      <c r="BH122" s="209"/>
      <c r="BI122" s="209"/>
      <c r="BJ122" s="209"/>
      <c r="BK122" s="209"/>
      <c r="BL122" s="209"/>
      <c r="BM122" s="209"/>
      <c r="BN122" s="209"/>
      <c r="BO122" s="209"/>
      <c r="BP122" s="209"/>
      <c r="BQ122" s="209"/>
      <c r="BR122" s="209"/>
      <c r="BS122" s="209"/>
      <c r="BT122" s="209"/>
      <c r="BU122" s="209"/>
      <c r="BV122" s="209"/>
      <c r="BW122" s="209"/>
      <c r="BX122" s="209"/>
      <c r="BY122" s="209"/>
      <c r="BZ122" s="209"/>
    </row>
    <row r="123" spans="1:78" ht="12.75">
      <c r="A123" s="132"/>
      <c r="B123" s="209"/>
      <c r="C123" s="209"/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09"/>
      <c r="AK123" s="209"/>
      <c r="AL123" s="209"/>
      <c r="AM123" s="209"/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09"/>
      <c r="BQ123" s="209"/>
      <c r="BR123" s="209"/>
      <c r="BS123" s="209"/>
      <c r="BT123" s="209"/>
      <c r="BU123" s="209"/>
      <c r="BV123" s="209"/>
      <c r="BW123" s="209"/>
      <c r="BX123" s="209"/>
      <c r="BY123" s="209"/>
      <c r="BZ123" s="209"/>
    </row>
    <row r="124" spans="1:78" ht="12.75">
      <c r="A124" s="132"/>
      <c r="B124" s="209"/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  <c r="AF124" s="209"/>
      <c r="AG124" s="209"/>
      <c r="AH124" s="209"/>
      <c r="AI124" s="209"/>
      <c r="AJ124" s="209"/>
      <c r="AK124" s="209"/>
      <c r="AL124" s="209"/>
      <c r="AM124" s="209"/>
      <c r="AN124" s="209"/>
      <c r="AO124" s="209"/>
      <c r="AP124" s="209"/>
      <c r="AQ124" s="209"/>
      <c r="AR124" s="209"/>
      <c r="AS124" s="209"/>
      <c r="AT124" s="209"/>
      <c r="AU124" s="209"/>
      <c r="AV124" s="209"/>
      <c r="AW124" s="209"/>
      <c r="AX124" s="209"/>
      <c r="AY124" s="209"/>
      <c r="AZ124" s="209"/>
      <c r="BA124" s="209"/>
      <c r="BB124" s="209"/>
      <c r="BC124" s="209"/>
      <c r="BD124" s="209"/>
      <c r="BE124" s="209"/>
      <c r="BF124" s="209"/>
      <c r="BG124" s="209"/>
      <c r="BH124" s="209"/>
      <c r="BI124" s="209"/>
      <c r="BJ124" s="209"/>
      <c r="BK124" s="209"/>
      <c r="BL124" s="209"/>
      <c r="BM124" s="209"/>
      <c r="BN124" s="209"/>
      <c r="BO124" s="209"/>
      <c r="BP124" s="209"/>
      <c r="BQ124" s="209"/>
      <c r="BR124" s="209"/>
      <c r="BS124" s="209"/>
      <c r="BT124" s="209"/>
      <c r="BU124" s="209"/>
      <c r="BV124" s="209"/>
      <c r="BW124" s="209"/>
      <c r="BX124" s="209"/>
      <c r="BY124" s="209"/>
      <c r="BZ124" s="209"/>
    </row>
    <row r="125" spans="1:78" ht="12.75">
      <c r="A125" s="132"/>
      <c r="B125" s="209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  <c r="AA125" s="209"/>
      <c r="AB125" s="209"/>
      <c r="AC125" s="209"/>
      <c r="AD125" s="209"/>
      <c r="AE125" s="209"/>
      <c r="AF125" s="209"/>
      <c r="AG125" s="209"/>
      <c r="AH125" s="209"/>
      <c r="AI125" s="209"/>
      <c r="AJ125" s="209"/>
      <c r="AK125" s="209"/>
      <c r="AL125" s="209"/>
      <c r="AM125" s="209"/>
      <c r="AN125" s="209"/>
      <c r="AO125" s="209"/>
      <c r="AP125" s="209"/>
      <c r="AQ125" s="209"/>
      <c r="AR125" s="209"/>
      <c r="AS125" s="209"/>
      <c r="AT125" s="209"/>
      <c r="AU125" s="209"/>
      <c r="AV125" s="209"/>
      <c r="AW125" s="209"/>
      <c r="AX125" s="209"/>
      <c r="AY125" s="209"/>
      <c r="AZ125" s="209"/>
      <c r="BA125" s="209"/>
      <c r="BB125" s="209"/>
      <c r="BC125" s="209"/>
      <c r="BD125" s="209"/>
      <c r="BE125" s="209"/>
      <c r="BF125" s="209"/>
      <c r="BG125" s="209"/>
      <c r="BH125" s="209"/>
      <c r="BI125" s="209"/>
      <c r="BJ125" s="209"/>
      <c r="BK125" s="209"/>
      <c r="BL125" s="209"/>
      <c r="BM125" s="209"/>
      <c r="BN125" s="209"/>
      <c r="BO125" s="209"/>
      <c r="BP125" s="209"/>
      <c r="BQ125" s="209"/>
      <c r="BR125" s="209"/>
      <c r="BS125" s="209"/>
      <c r="BT125" s="209"/>
      <c r="BU125" s="209"/>
      <c r="BV125" s="209"/>
      <c r="BW125" s="209"/>
      <c r="BX125" s="209"/>
      <c r="BY125" s="209"/>
      <c r="BZ125" s="209"/>
    </row>
    <row r="126" spans="1:78" ht="12.75">
      <c r="A126" s="132"/>
      <c r="B126" s="209"/>
      <c r="C126" s="209"/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  <c r="AH126" s="209"/>
      <c r="AI126" s="209"/>
      <c r="AJ126" s="209"/>
      <c r="AK126" s="209"/>
      <c r="AL126" s="209"/>
      <c r="AM126" s="209"/>
      <c r="AN126" s="209"/>
      <c r="AO126" s="209"/>
      <c r="AP126" s="209"/>
      <c r="AQ126" s="209"/>
      <c r="AR126" s="209"/>
      <c r="AS126" s="209"/>
      <c r="AT126" s="209"/>
      <c r="AU126" s="209"/>
      <c r="AV126" s="209"/>
      <c r="AW126" s="209"/>
      <c r="AX126" s="209"/>
      <c r="AY126" s="209"/>
      <c r="AZ126" s="209"/>
      <c r="BA126" s="209"/>
      <c r="BB126" s="209"/>
      <c r="BC126" s="209"/>
      <c r="BD126" s="209"/>
      <c r="BE126" s="209"/>
      <c r="BF126" s="209"/>
      <c r="BG126" s="209"/>
      <c r="BH126" s="209"/>
      <c r="BI126" s="209"/>
      <c r="BJ126" s="209"/>
      <c r="BK126" s="209"/>
      <c r="BL126" s="209"/>
      <c r="BM126" s="209"/>
      <c r="BN126" s="209"/>
      <c r="BO126" s="209"/>
      <c r="BP126" s="209"/>
      <c r="BQ126" s="209"/>
      <c r="BR126" s="209"/>
      <c r="BS126" s="209"/>
      <c r="BT126" s="209"/>
      <c r="BU126" s="209"/>
      <c r="BV126" s="209"/>
      <c r="BW126" s="209"/>
      <c r="BX126" s="209"/>
      <c r="BY126" s="209"/>
      <c r="BZ126" s="209"/>
    </row>
    <row r="127" spans="1:80" ht="12.75">
      <c r="A127" s="132"/>
      <c r="B127" s="209"/>
      <c r="C127" s="209"/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09"/>
      <c r="AA127" s="209"/>
      <c r="AB127" s="209"/>
      <c r="AC127" s="209"/>
      <c r="AD127" s="209"/>
      <c r="AE127" s="209"/>
      <c r="AF127" s="209"/>
      <c r="AG127" s="209"/>
      <c r="AH127" s="209"/>
      <c r="AI127" s="209"/>
      <c r="AJ127" s="209"/>
      <c r="AK127" s="209"/>
      <c r="AL127" s="209"/>
      <c r="AM127" s="209"/>
      <c r="AN127" s="209"/>
      <c r="AO127" s="209"/>
      <c r="AP127" s="209"/>
      <c r="AQ127" s="209"/>
      <c r="AR127" s="209"/>
      <c r="AS127" s="209"/>
      <c r="AT127" s="209"/>
      <c r="AU127" s="209"/>
      <c r="AV127" s="209"/>
      <c r="AW127" s="209"/>
      <c r="AX127" s="209"/>
      <c r="AY127" s="209"/>
      <c r="AZ127" s="209"/>
      <c r="BA127" s="209"/>
      <c r="BB127" s="209"/>
      <c r="BC127" s="209"/>
      <c r="BD127" s="209"/>
      <c r="BE127" s="209"/>
      <c r="BF127" s="209"/>
      <c r="BG127" s="209"/>
      <c r="BH127" s="209"/>
      <c r="BI127" s="209"/>
      <c r="BJ127" s="209"/>
      <c r="BK127" s="209"/>
      <c r="BL127" s="209"/>
      <c r="BM127" s="209"/>
      <c r="BN127" s="209"/>
      <c r="BO127" s="209"/>
      <c r="BP127" s="209"/>
      <c r="BQ127" s="209"/>
      <c r="BR127" s="209"/>
      <c r="BS127" s="209"/>
      <c r="BT127" s="209"/>
      <c r="BU127" s="209"/>
      <c r="BV127" s="209"/>
      <c r="BW127" s="209"/>
      <c r="BX127" s="209"/>
      <c r="BY127" s="209"/>
      <c r="BZ127" s="209"/>
      <c r="CA127" s="78"/>
      <c r="CB127" s="78"/>
    </row>
    <row r="128" spans="1:80" ht="12.75">
      <c r="A128" s="132"/>
      <c r="B128" s="209"/>
      <c r="C128" s="209"/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  <c r="AF128" s="209"/>
      <c r="AG128" s="209"/>
      <c r="AH128" s="209"/>
      <c r="AI128" s="209"/>
      <c r="AJ128" s="209"/>
      <c r="AK128" s="209"/>
      <c r="AL128" s="209"/>
      <c r="AM128" s="209"/>
      <c r="AN128" s="209"/>
      <c r="AO128" s="209"/>
      <c r="AP128" s="209"/>
      <c r="AQ128" s="209"/>
      <c r="AR128" s="209"/>
      <c r="AS128" s="209"/>
      <c r="AT128" s="209"/>
      <c r="AU128" s="209"/>
      <c r="AV128" s="209"/>
      <c r="AW128" s="209"/>
      <c r="AX128" s="209"/>
      <c r="AY128" s="209"/>
      <c r="AZ128" s="209"/>
      <c r="BA128" s="209"/>
      <c r="BB128" s="209"/>
      <c r="BC128" s="209"/>
      <c r="BD128" s="209"/>
      <c r="BE128" s="209"/>
      <c r="BF128" s="209"/>
      <c r="BG128" s="209"/>
      <c r="BH128" s="209"/>
      <c r="BI128" s="209"/>
      <c r="BJ128" s="209"/>
      <c r="BK128" s="209"/>
      <c r="BL128" s="209"/>
      <c r="BM128" s="209"/>
      <c r="BN128" s="209"/>
      <c r="BO128" s="209"/>
      <c r="BP128" s="209"/>
      <c r="BQ128" s="209"/>
      <c r="BR128" s="209"/>
      <c r="BS128" s="209"/>
      <c r="BT128" s="209"/>
      <c r="BU128" s="209"/>
      <c r="BV128" s="209"/>
      <c r="BW128" s="209"/>
      <c r="BX128" s="209"/>
      <c r="BY128" s="209"/>
      <c r="BZ128" s="209"/>
      <c r="CA128" s="78"/>
      <c r="CB128" s="78"/>
    </row>
    <row r="129" spans="1:80" ht="12.75">
      <c r="A129" s="130"/>
      <c r="B129" s="209"/>
      <c r="C129" s="209"/>
      <c r="D129" s="209"/>
      <c r="E129" s="209"/>
      <c r="F129" s="209"/>
      <c r="G129" s="209"/>
      <c r="H129" s="209"/>
      <c r="I129" s="209"/>
      <c r="J129" s="209"/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09"/>
      <c r="AE129" s="209"/>
      <c r="AF129" s="209"/>
      <c r="AG129" s="209"/>
      <c r="AH129" s="209"/>
      <c r="AI129" s="209"/>
      <c r="AJ129" s="209"/>
      <c r="AK129" s="209"/>
      <c r="AL129" s="209"/>
      <c r="AM129" s="209"/>
      <c r="AN129" s="209"/>
      <c r="AO129" s="209"/>
      <c r="AP129" s="209"/>
      <c r="AQ129" s="209"/>
      <c r="AR129" s="209"/>
      <c r="AS129" s="209"/>
      <c r="AT129" s="209"/>
      <c r="AU129" s="209"/>
      <c r="AV129" s="209"/>
      <c r="AW129" s="209"/>
      <c r="AX129" s="209"/>
      <c r="AY129" s="209"/>
      <c r="AZ129" s="209"/>
      <c r="BA129" s="209"/>
      <c r="BB129" s="209"/>
      <c r="BC129" s="209"/>
      <c r="BD129" s="209"/>
      <c r="BE129" s="209"/>
      <c r="BF129" s="209"/>
      <c r="BG129" s="209"/>
      <c r="BH129" s="209"/>
      <c r="BI129" s="209"/>
      <c r="BJ129" s="209"/>
      <c r="BK129" s="209"/>
      <c r="BL129" s="209"/>
      <c r="BM129" s="209"/>
      <c r="BN129" s="209"/>
      <c r="BO129" s="209"/>
      <c r="BP129" s="209"/>
      <c r="BQ129" s="209"/>
      <c r="BR129" s="209"/>
      <c r="BS129" s="209"/>
      <c r="BT129" s="209"/>
      <c r="BU129" s="209"/>
      <c r="BV129" s="209"/>
      <c r="BW129" s="209"/>
      <c r="BX129" s="209"/>
      <c r="BY129" s="209"/>
      <c r="BZ129" s="209"/>
      <c r="CA129" s="78"/>
      <c r="CB129" s="78"/>
    </row>
    <row r="130" spans="1:80" ht="7.5" customHeight="1">
      <c r="A130" s="133"/>
      <c r="B130" s="209"/>
      <c r="C130" s="209"/>
      <c r="D130" s="209"/>
      <c r="E130" s="209"/>
      <c r="F130" s="209"/>
      <c r="G130" s="209"/>
      <c r="H130" s="209"/>
      <c r="I130" s="209"/>
      <c r="J130" s="209"/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209"/>
      <c r="AG130" s="209"/>
      <c r="AH130" s="209"/>
      <c r="AI130" s="209"/>
      <c r="AJ130" s="209"/>
      <c r="AK130" s="209"/>
      <c r="AL130" s="209"/>
      <c r="AM130" s="209"/>
      <c r="AN130" s="209"/>
      <c r="AO130" s="209"/>
      <c r="AP130" s="209"/>
      <c r="AQ130" s="209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209"/>
      <c r="BD130" s="209"/>
      <c r="BE130" s="209"/>
      <c r="BF130" s="209"/>
      <c r="BG130" s="209"/>
      <c r="BH130" s="209"/>
      <c r="BI130" s="209"/>
      <c r="BJ130" s="209"/>
      <c r="BK130" s="209"/>
      <c r="BL130" s="209"/>
      <c r="BM130" s="209"/>
      <c r="BN130" s="209"/>
      <c r="BO130" s="209"/>
      <c r="BP130" s="209"/>
      <c r="BQ130" s="209"/>
      <c r="BR130" s="209"/>
      <c r="BS130" s="209"/>
      <c r="BT130" s="209"/>
      <c r="BU130" s="209"/>
      <c r="BV130" s="209"/>
      <c r="BW130" s="209"/>
      <c r="BX130" s="209"/>
      <c r="BY130" s="209"/>
      <c r="BZ130" s="209"/>
      <c r="CA130" s="78"/>
      <c r="CB130" s="78"/>
    </row>
    <row r="131" spans="1:80" ht="12.75">
      <c r="A131" s="131"/>
      <c r="B131" s="209"/>
      <c r="C131" s="209"/>
      <c r="D131" s="209"/>
      <c r="E131" s="209"/>
      <c r="F131" s="209"/>
      <c r="G131" s="209"/>
      <c r="H131" s="209"/>
      <c r="I131" s="209"/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  <c r="Z131" s="209"/>
      <c r="AA131" s="209"/>
      <c r="AB131" s="209"/>
      <c r="AC131" s="209"/>
      <c r="AD131" s="209"/>
      <c r="AE131" s="209"/>
      <c r="AF131" s="209"/>
      <c r="AG131" s="209"/>
      <c r="AH131" s="209"/>
      <c r="AI131" s="209"/>
      <c r="AJ131" s="209"/>
      <c r="AK131" s="209"/>
      <c r="AL131" s="209"/>
      <c r="AM131" s="209"/>
      <c r="AN131" s="209"/>
      <c r="AO131" s="209"/>
      <c r="AP131" s="209"/>
      <c r="AQ131" s="209"/>
      <c r="AR131" s="209"/>
      <c r="AS131" s="209"/>
      <c r="AT131" s="209"/>
      <c r="AU131" s="209"/>
      <c r="AV131" s="209"/>
      <c r="AW131" s="209"/>
      <c r="AX131" s="209"/>
      <c r="AY131" s="209"/>
      <c r="AZ131" s="209"/>
      <c r="BA131" s="209"/>
      <c r="BB131" s="209"/>
      <c r="BC131" s="209"/>
      <c r="BD131" s="209"/>
      <c r="BE131" s="209"/>
      <c r="BF131" s="209"/>
      <c r="BG131" s="209"/>
      <c r="BH131" s="209"/>
      <c r="BI131" s="209"/>
      <c r="BJ131" s="209"/>
      <c r="BK131" s="209"/>
      <c r="BL131" s="209"/>
      <c r="BM131" s="209"/>
      <c r="BN131" s="209"/>
      <c r="BO131" s="209"/>
      <c r="BP131" s="209"/>
      <c r="BQ131" s="209"/>
      <c r="BR131" s="209"/>
      <c r="BS131" s="209"/>
      <c r="BT131" s="209"/>
      <c r="BU131" s="209"/>
      <c r="BV131" s="209"/>
      <c r="BW131" s="209"/>
      <c r="BX131" s="209"/>
      <c r="BY131" s="209"/>
      <c r="BZ131" s="209"/>
      <c r="CA131" s="78"/>
      <c r="CB131" s="78"/>
    </row>
    <row r="132" spans="1:80" ht="12.75">
      <c r="A132" s="130"/>
      <c r="B132" s="209"/>
      <c r="C132" s="209"/>
      <c r="D132" s="209"/>
      <c r="E132" s="209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  <c r="AM132" s="209"/>
      <c r="AN132" s="209"/>
      <c r="AO132" s="209"/>
      <c r="AP132" s="209"/>
      <c r="AQ132" s="209"/>
      <c r="AR132" s="209"/>
      <c r="AS132" s="209"/>
      <c r="AT132" s="209"/>
      <c r="AU132" s="209"/>
      <c r="AV132" s="209"/>
      <c r="AW132" s="209"/>
      <c r="AX132" s="209"/>
      <c r="AY132" s="209"/>
      <c r="AZ132" s="209"/>
      <c r="BA132" s="209"/>
      <c r="BB132" s="209"/>
      <c r="BC132" s="209"/>
      <c r="BD132" s="209"/>
      <c r="BE132" s="209"/>
      <c r="BF132" s="209"/>
      <c r="BG132" s="209"/>
      <c r="BH132" s="209"/>
      <c r="BI132" s="209"/>
      <c r="BJ132" s="209"/>
      <c r="BK132" s="209"/>
      <c r="BL132" s="209"/>
      <c r="BM132" s="209"/>
      <c r="BN132" s="209"/>
      <c r="BO132" s="209"/>
      <c r="BP132" s="209"/>
      <c r="BQ132" s="209"/>
      <c r="BR132" s="209"/>
      <c r="BS132" s="209"/>
      <c r="BT132" s="209"/>
      <c r="BU132" s="209"/>
      <c r="BV132" s="209"/>
      <c r="BW132" s="209"/>
      <c r="BX132" s="209"/>
      <c r="BY132" s="209"/>
      <c r="BZ132" s="209"/>
      <c r="CA132" s="78"/>
      <c r="CB132" s="78"/>
    </row>
    <row r="133" spans="1:80" ht="7.5" customHeight="1">
      <c r="A133" s="133"/>
      <c r="B133" s="209"/>
      <c r="C133" s="209"/>
      <c r="D133" s="209"/>
      <c r="E133" s="209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209"/>
      <c r="AG133" s="209"/>
      <c r="AH133" s="209"/>
      <c r="AI133" s="209"/>
      <c r="AJ133" s="209"/>
      <c r="AK133" s="209"/>
      <c r="AL133" s="209"/>
      <c r="AM133" s="209"/>
      <c r="AN133" s="209"/>
      <c r="AO133" s="209"/>
      <c r="AP133" s="209"/>
      <c r="AQ133" s="209"/>
      <c r="AR133" s="209"/>
      <c r="AS133" s="209"/>
      <c r="AT133" s="209"/>
      <c r="AU133" s="209"/>
      <c r="AV133" s="209"/>
      <c r="AW133" s="209"/>
      <c r="AX133" s="209"/>
      <c r="AY133" s="209"/>
      <c r="AZ133" s="209"/>
      <c r="BA133" s="209"/>
      <c r="BB133" s="209"/>
      <c r="BC133" s="209"/>
      <c r="BD133" s="209"/>
      <c r="BE133" s="209"/>
      <c r="BF133" s="209"/>
      <c r="BG133" s="209"/>
      <c r="BH133" s="209"/>
      <c r="BI133" s="209"/>
      <c r="BJ133" s="209"/>
      <c r="BK133" s="209"/>
      <c r="BL133" s="209"/>
      <c r="BM133" s="209"/>
      <c r="BN133" s="209"/>
      <c r="BO133" s="209"/>
      <c r="BP133" s="209"/>
      <c r="BQ133" s="209"/>
      <c r="BR133" s="209"/>
      <c r="BS133" s="209"/>
      <c r="BT133" s="209"/>
      <c r="BU133" s="209"/>
      <c r="BV133" s="209"/>
      <c r="BW133" s="209"/>
      <c r="BX133" s="209"/>
      <c r="BY133" s="209"/>
      <c r="BZ133" s="209"/>
      <c r="CA133" s="78"/>
      <c r="CB133" s="78"/>
    </row>
    <row r="134" spans="1:80" ht="12.75">
      <c r="A134" s="131"/>
      <c r="B134" s="209"/>
      <c r="C134" s="209"/>
      <c r="D134" s="209"/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09"/>
      <c r="AG134" s="209"/>
      <c r="AH134" s="209"/>
      <c r="AI134" s="209"/>
      <c r="AJ134" s="209"/>
      <c r="AK134" s="209"/>
      <c r="AL134" s="209"/>
      <c r="AM134" s="209"/>
      <c r="AN134" s="209"/>
      <c r="AO134" s="209"/>
      <c r="AP134" s="209"/>
      <c r="AQ134" s="209"/>
      <c r="AR134" s="209"/>
      <c r="AS134" s="209"/>
      <c r="AT134" s="209"/>
      <c r="AU134" s="209"/>
      <c r="AV134" s="209"/>
      <c r="AW134" s="209"/>
      <c r="AX134" s="209"/>
      <c r="AY134" s="209"/>
      <c r="AZ134" s="209"/>
      <c r="BA134" s="209"/>
      <c r="BB134" s="209"/>
      <c r="BC134" s="209"/>
      <c r="BD134" s="209"/>
      <c r="BE134" s="209"/>
      <c r="BF134" s="209"/>
      <c r="BG134" s="209"/>
      <c r="BH134" s="209"/>
      <c r="BI134" s="209"/>
      <c r="BJ134" s="209"/>
      <c r="BK134" s="209"/>
      <c r="BL134" s="209"/>
      <c r="BM134" s="209"/>
      <c r="BN134" s="209"/>
      <c r="BO134" s="209"/>
      <c r="BP134" s="209"/>
      <c r="BQ134" s="209"/>
      <c r="BR134" s="209"/>
      <c r="BS134" s="209"/>
      <c r="BT134" s="209"/>
      <c r="BU134" s="209"/>
      <c r="BV134" s="209"/>
      <c r="BW134" s="209"/>
      <c r="BX134" s="209"/>
      <c r="BY134" s="209"/>
      <c r="BZ134" s="209"/>
      <c r="CA134" s="78"/>
      <c r="CB134" s="78"/>
    </row>
    <row r="135" spans="1:80" ht="12.75">
      <c r="A135" s="130"/>
      <c r="B135" s="209"/>
      <c r="C135" s="209"/>
      <c r="D135" s="209"/>
      <c r="E135" s="209"/>
      <c r="F135" s="209"/>
      <c r="G135" s="209"/>
      <c r="H135" s="209"/>
      <c r="I135" s="209"/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09"/>
      <c r="AK135" s="209"/>
      <c r="AL135" s="209"/>
      <c r="AM135" s="209"/>
      <c r="AN135" s="209"/>
      <c r="AO135" s="209"/>
      <c r="AP135" s="209"/>
      <c r="AQ135" s="209"/>
      <c r="AR135" s="209"/>
      <c r="AS135" s="209"/>
      <c r="AT135" s="209"/>
      <c r="AU135" s="209"/>
      <c r="AV135" s="209"/>
      <c r="AW135" s="209"/>
      <c r="AX135" s="209"/>
      <c r="AY135" s="209"/>
      <c r="AZ135" s="209"/>
      <c r="BA135" s="209"/>
      <c r="BB135" s="209"/>
      <c r="BC135" s="209"/>
      <c r="BD135" s="209"/>
      <c r="BE135" s="209"/>
      <c r="BF135" s="209"/>
      <c r="BG135" s="209"/>
      <c r="BH135" s="209"/>
      <c r="BI135" s="209"/>
      <c r="BJ135" s="209"/>
      <c r="BK135" s="209"/>
      <c r="BL135" s="209"/>
      <c r="BM135" s="209"/>
      <c r="BN135" s="209"/>
      <c r="BO135" s="209"/>
      <c r="BP135" s="209"/>
      <c r="BQ135" s="209"/>
      <c r="BR135" s="209"/>
      <c r="BS135" s="209"/>
      <c r="BT135" s="209"/>
      <c r="BU135" s="209"/>
      <c r="BV135" s="209"/>
      <c r="BW135" s="209"/>
      <c r="BX135" s="209"/>
      <c r="BY135" s="209"/>
      <c r="BZ135" s="209"/>
      <c r="CA135" s="78"/>
      <c r="CB135" s="78"/>
    </row>
    <row r="136" spans="1:80" ht="7.5" customHeight="1">
      <c r="A136" s="133"/>
      <c r="B136" s="209"/>
      <c r="C136" s="209"/>
      <c r="D136" s="209"/>
      <c r="E136" s="209"/>
      <c r="F136" s="209"/>
      <c r="G136" s="209"/>
      <c r="H136" s="209"/>
      <c r="I136" s="209"/>
      <c r="J136" s="209"/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209"/>
      <c r="AG136" s="209"/>
      <c r="AH136" s="209"/>
      <c r="AI136" s="209"/>
      <c r="AJ136" s="209"/>
      <c r="AK136" s="209"/>
      <c r="AL136" s="209"/>
      <c r="AM136" s="209"/>
      <c r="AN136" s="209"/>
      <c r="AO136" s="209"/>
      <c r="AP136" s="209"/>
      <c r="AQ136" s="209"/>
      <c r="AR136" s="209"/>
      <c r="AS136" s="209"/>
      <c r="AT136" s="209"/>
      <c r="AU136" s="209"/>
      <c r="AV136" s="209"/>
      <c r="AW136" s="209"/>
      <c r="AX136" s="209"/>
      <c r="AY136" s="209"/>
      <c r="AZ136" s="209"/>
      <c r="BA136" s="209"/>
      <c r="BB136" s="209"/>
      <c r="BC136" s="209"/>
      <c r="BD136" s="209"/>
      <c r="BE136" s="209"/>
      <c r="BF136" s="209"/>
      <c r="BG136" s="209"/>
      <c r="BH136" s="209"/>
      <c r="BI136" s="209"/>
      <c r="BJ136" s="209"/>
      <c r="BK136" s="209"/>
      <c r="BL136" s="209"/>
      <c r="BM136" s="209"/>
      <c r="BN136" s="209"/>
      <c r="BO136" s="209"/>
      <c r="BP136" s="209"/>
      <c r="BQ136" s="209"/>
      <c r="BR136" s="209"/>
      <c r="BS136" s="209"/>
      <c r="BT136" s="209"/>
      <c r="BU136" s="209"/>
      <c r="BV136" s="209"/>
      <c r="BW136" s="209"/>
      <c r="BX136" s="209"/>
      <c r="BY136" s="209"/>
      <c r="BZ136" s="209"/>
      <c r="CA136" s="78"/>
      <c r="CB136" s="78"/>
    </row>
    <row r="137" spans="1:80" ht="12.75">
      <c r="A137" s="131"/>
      <c r="B137" s="209"/>
      <c r="C137" s="209"/>
      <c r="D137" s="209"/>
      <c r="E137" s="209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D137" s="209"/>
      <c r="AE137" s="209"/>
      <c r="AF137" s="209"/>
      <c r="AG137" s="209"/>
      <c r="AH137" s="209"/>
      <c r="AI137" s="209"/>
      <c r="AJ137" s="209"/>
      <c r="AK137" s="209"/>
      <c r="AL137" s="209"/>
      <c r="AM137" s="209"/>
      <c r="AN137" s="209"/>
      <c r="AO137" s="209"/>
      <c r="AP137" s="209"/>
      <c r="AQ137" s="209"/>
      <c r="AR137" s="209"/>
      <c r="AS137" s="209"/>
      <c r="AT137" s="209"/>
      <c r="AU137" s="209"/>
      <c r="AV137" s="209"/>
      <c r="AW137" s="209"/>
      <c r="AX137" s="209"/>
      <c r="AY137" s="209"/>
      <c r="AZ137" s="209"/>
      <c r="BA137" s="209"/>
      <c r="BB137" s="209"/>
      <c r="BC137" s="209"/>
      <c r="BD137" s="209"/>
      <c r="BE137" s="209"/>
      <c r="BF137" s="209"/>
      <c r="BG137" s="209"/>
      <c r="BH137" s="209"/>
      <c r="BI137" s="209"/>
      <c r="BJ137" s="209"/>
      <c r="BK137" s="209"/>
      <c r="BL137" s="209"/>
      <c r="BM137" s="209"/>
      <c r="BN137" s="209"/>
      <c r="BO137" s="209"/>
      <c r="BP137" s="209"/>
      <c r="BQ137" s="209"/>
      <c r="BR137" s="209"/>
      <c r="BS137" s="209"/>
      <c r="BT137" s="209"/>
      <c r="BU137" s="209"/>
      <c r="BV137" s="209"/>
      <c r="BW137" s="209"/>
      <c r="BX137" s="209"/>
      <c r="BY137" s="209"/>
      <c r="BZ137" s="209"/>
      <c r="CA137" s="78"/>
      <c r="CB137" s="78"/>
    </row>
    <row r="138" spans="1:80" ht="12.75">
      <c r="A138" s="130"/>
      <c r="B138" s="209"/>
      <c r="C138" s="209"/>
      <c r="D138" s="209"/>
      <c r="E138" s="209"/>
      <c r="F138" s="209"/>
      <c r="G138" s="209"/>
      <c r="H138" s="209"/>
      <c r="I138" s="209"/>
      <c r="J138" s="209"/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209"/>
      <c r="AG138" s="209"/>
      <c r="AH138" s="209"/>
      <c r="AI138" s="209"/>
      <c r="AJ138" s="209"/>
      <c r="AK138" s="209"/>
      <c r="AL138" s="209"/>
      <c r="AM138" s="209"/>
      <c r="AN138" s="209"/>
      <c r="AO138" s="209"/>
      <c r="AP138" s="209"/>
      <c r="AQ138" s="209"/>
      <c r="AR138" s="209"/>
      <c r="AS138" s="209"/>
      <c r="AT138" s="209"/>
      <c r="AU138" s="209"/>
      <c r="AV138" s="209"/>
      <c r="AW138" s="209"/>
      <c r="AX138" s="209"/>
      <c r="AY138" s="209"/>
      <c r="AZ138" s="209"/>
      <c r="BA138" s="209"/>
      <c r="BB138" s="209"/>
      <c r="BC138" s="209"/>
      <c r="BD138" s="209"/>
      <c r="BE138" s="209"/>
      <c r="BF138" s="209"/>
      <c r="BG138" s="209"/>
      <c r="BH138" s="209"/>
      <c r="BI138" s="209"/>
      <c r="BJ138" s="209"/>
      <c r="BK138" s="209"/>
      <c r="BL138" s="209"/>
      <c r="BM138" s="209"/>
      <c r="BN138" s="209"/>
      <c r="BO138" s="209"/>
      <c r="BP138" s="209"/>
      <c r="BQ138" s="209"/>
      <c r="BR138" s="209"/>
      <c r="BS138" s="209"/>
      <c r="BT138" s="209"/>
      <c r="BU138" s="209"/>
      <c r="BV138" s="209"/>
      <c r="BW138" s="209"/>
      <c r="BX138" s="209"/>
      <c r="BY138" s="209"/>
      <c r="BZ138" s="209"/>
      <c r="CA138" s="78"/>
      <c r="CB138" s="78"/>
    </row>
    <row r="139" spans="1:80" ht="7.5" customHeight="1">
      <c r="A139" s="130"/>
      <c r="B139" s="209"/>
      <c r="C139" s="209"/>
      <c r="D139" s="209"/>
      <c r="E139" s="209"/>
      <c r="F139" s="209"/>
      <c r="G139" s="209"/>
      <c r="H139" s="209"/>
      <c r="I139" s="209"/>
      <c r="J139" s="209"/>
      <c r="K139" s="209"/>
      <c r="L139" s="209"/>
      <c r="M139" s="209"/>
      <c r="N139" s="209"/>
      <c r="O139" s="209"/>
      <c r="P139" s="209"/>
      <c r="Q139" s="209"/>
      <c r="R139" s="209"/>
      <c r="S139" s="209"/>
      <c r="T139" s="209"/>
      <c r="U139" s="209"/>
      <c r="V139" s="209"/>
      <c r="W139" s="209"/>
      <c r="X139" s="209"/>
      <c r="Y139" s="209"/>
      <c r="Z139" s="209"/>
      <c r="AA139" s="209"/>
      <c r="AB139" s="209"/>
      <c r="AC139" s="209"/>
      <c r="AD139" s="209"/>
      <c r="AE139" s="209"/>
      <c r="AF139" s="209"/>
      <c r="AG139" s="209"/>
      <c r="AH139" s="209"/>
      <c r="AI139" s="209"/>
      <c r="AJ139" s="209"/>
      <c r="AK139" s="209"/>
      <c r="AL139" s="209"/>
      <c r="AM139" s="209"/>
      <c r="AN139" s="209"/>
      <c r="AO139" s="209"/>
      <c r="AP139" s="209"/>
      <c r="AQ139" s="209"/>
      <c r="AR139" s="209"/>
      <c r="AS139" s="209"/>
      <c r="AT139" s="209"/>
      <c r="AU139" s="209"/>
      <c r="AV139" s="209"/>
      <c r="AW139" s="209"/>
      <c r="AX139" s="209"/>
      <c r="AY139" s="209"/>
      <c r="AZ139" s="209"/>
      <c r="BA139" s="209"/>
      <c r="BB139" s="209"/>
      <c r="BC139" s="209"/>
      <c r="BD139" s="209"/>
      <c r="BE139" s="209"/>
      <c r="BF139" s="209"/>
      <c r="BG139" s="209"/>
      <c r="BH139" s="209"/>
      <c r="BI139" s="209"/>
      <c r="BJ139" s="209"/>
      <c r="BK139" s="209"/>
      <c r="BL139" s="209"/>
      <c r="BM139" s="209"/>
      <c r="BN139" s="209"/>
      <c r="BO139" s="209"/>
      <c r="BP139" s="209"/>
      <c r="BQ139" s="209"/>
      <c r="BR139" s="209"/>
      <c r="BS139" s="209"/>
      <c r="BT139" s="209"/>
      <c r="BU139" s="209"/>
      <c r="BV139" s="209"/>
      <c r="BW139" s="209"/>
      <c r="BX139" s="209"/>
      <c r="BY139" s="209"/>
      <c r="BZ139" s="209"/>
      <c r="CA139" s="78"/>
      <c r="CB139" s="78"/>
    </row>
    <row r="140" spans="1:80" ht="7.5" customHeight="1">
      <c r="A140" s="130"/>
      <c r="B140" s="209"/>
      <c r="C140" s="209"/>
      <c r="D140" s="209"/>
      <c r="E140" s="209"/>
      <c r="F140" s="209"/>
      <c r="G140" s="209"/>
      <c r="H140" s="209"/>
      <c r="I140" s="209"/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209"/>
      <c r="AG140" s="209"/>
      <c r="AH140" s="209"/>
      <c r="AI140" s="209"/>
      <c r="AJ140" s="209"/>
      <c r="AK140" s="209"/>
      <c r="AL140" s="209"/>
      <c r="AM140" s="209"/>
      <c r="AN140" s="209"/>
      <c r="AO140" s="209"/>
      <c r="AP140" s="209"/>
      <c r="AQ140" s="209"/>
      <c r="AR140" s="209"/>
      <c r="AS140" s="209"/>
      <c r="AT140" s="209"/>
      <c r="AU140" s="209"/>
      <c r="AV140" s="209"/>
      <c r="AW140" s="209"/>
      <c r="AX140" s="209"/>
      <c r="AY140" s="209"/>
      <c r="AZ140" s="209"/>
      <c r="BA140" s="209"/>
      <c r="BB140" s="209"/>
      <c r="BC140" s="209"/>
      <c r="BD140" s="209"/>
      <c r="BE140" s="209"/>
      <c r="BF140" s="209"/>
      <c r="BG140" s="209"/>
      <c r="BH140" s="209"/>
      <c r="BI140" s="209"/>
      <c r="BJ140" s="209"/>
      <c r="BK140" s="209"/>
      <c r="BL140" s="209"/>
      <c r="BM140" s="209"/>
      <c r="BN140" s="209"/>
      <c r="BO140" s="209"/>
      <c r="BP140" s="209"/>
      <c r="BQ140" s="209"/>
      <c r="BR140" s="209"/>
      <c r="BS140" s="209"/>
      <c r="BT140" s="209"/>
      <c r="BU140" s="209"/>
      <c r="BV140" s="209"/>
      <c r="BW140" s="209"/>
      <c r="BX140" s="209"/>
      <c r="BY140" s="209"/>
      <c r="BZ140" s="209"/>
      <c r="CA140" s="78"/>
      <c r="CB140" s="78"/>
    </row>
    <row r="141" spans="1:80" ht="12.75">
      <c r="A141" s="134"/>
      <c r="B141" s="209"/>
      <c r="C141" s="209"/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  <c r="AA141" s="209"/>
      <c r="AB141" s="209"/>
      <c r="AC141" s="209"/>
      <c r="AD141" s="209"/>
      <c r="AE141" s="209"/>
      <c r="AF141" s="209"/>
      <c r="AG141" s="209"/>
      <c r="AH141" s="209"/>
      <c r="AI141" s="209"/>
      <c r="AJ141" s="209"/>
      <c r="AK141" s="209"/>
      <c r="AL141" s="209"/>
      <c r="AM141" s="209"/>
      <c r="AN141" s="209"/>
      <c r="AO141" s="209"/>
      <c r="AP141" s="209"/>
      <c r="AQ141" s="209"/>
      <c r="AR141" s="209"/>
      <c r="AS141" s="209"/>
      <c r="AT141" s="209"/>
      <c r="AU141" s="209"/>
      <c r="AV141" s="209"/>
      <c r="AW141" s="209"/>
      <c r="AX141" s="209"/>
      <c r="AY141" s="209"/>
      <c r="AZ141" s="209"/>
      <c r="BA141" s="209"/>
      <c r="BB141" s="209"/>
      <c r="BC141" s="209"/>
      <c r="BD141" s="209"/>
      <c r="BE141" s="209"/>
      <c r="BF141" s="209"/>
      <c r="BG141" s="209"/>
      <c r="BH141" s="209"/>
      <c r="BI141" s="209"/>
      <c r="BJ141" s="209"/>
      <c r="BK141" s="209"/>
      <c r="BL141" s="209"/>
      <c r="BM141" s="209"/>
      <c r="BN141" s="209"/>
      <c r="BO141" s="209"/>
      <c r="BP141" s="209"/>
      <c r="BQ141" s="209"/>
      <c r="BR141" s="209"/>
      <c r="BS141" s="209"/>
      <c r="BT141" s="209"/>
      <c r="BU141" s="209"/>
      <c r="BV141" s="209"/>
      <c r="BW141" s="209"/>
      <c r="BX141" s="209"/>
      <c r="BY141" s="209"/>
      <c r="BZ141" s="209"/>
      <c r="CA141" s="78"/>
      <c r="CB141" s="78"/>
    </row>
    <row r="142" spans="1:80" ht="12.75">
      <c r="A142" s="135"/>
      <c r="B142" s="209"/>
      <c r="C142" s="209"/>
      <c r="D142" s="209"/>
      <c r="E142" s="209"/>
      <c r="F142" s="209"/>
      <c r="G142" s="209"/>
      <c r="H142" s="209"/>
      <c r="I142" s="209"/>
      <c r="J142" s="209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D142" s="209"/>
      <c r="AE142" s="209"/>
      <c r="AF142" s="209"/>
      <c r="AG142" s="209"/>
      <c r="AH142" s="209"/>
      <c r="AI142" s="209"/>
      <c r="AJ142" s="209"/>
      <c r="AK142" s="209"/>
      <c r="AL142" s="209"/>
      <c r="AM142" s="209"/>
      <c r="AN142" s="209"/>
      <c r="AO142" s="209"/>
      <c r="AP142" s="209"/>
      <c r="AQ142" s="209"/>
      <c r="AR142" s="209"/>
      <c r="AS142" s="209"/>
      <c r="AT142" s="209"/>
      <c r="AU142" s="209"/>
      <c r="AV142" s="209"/>
      <c r="AW142" s="209"/>
      <c r="AX142" s="209"/>
      <c r="AY142" s="209"/>
      <c r="AZ142" s="209"/>
      <c r="BA142" s="209"/>
      <c r="BB142" s="209"/>
      <c r="BC142" s="209"/>
      <c r="BD142" s="209"/>
      <c r="BE142" s="209"/>
      <c r="BF142" s="209"/>
      <c r="BG142" s="209"/>
      <c r="BH142" s="209"/>
      <c r="BI142" s="209"/>
      <c r="BJ142" s="209"/>
      <c r="BK142" s="209"/>
      <c r="BL142" s="209"/>
      <c r="BM142" s="209"/>
      <c r="BN142" s="209"/>
      <c r="BO142" s="209"/>
      <c r="BP142" s="209"/>
      <c r="BQ142" s="209"/>
      <c r="BR142" s="209"/>
      <c r="BS142" s="209"/>
      <c r="BT142" s="209"/>
      <c r="BU142" s="209"/>
      <c r="BV142" s="209"/>
      <c r="BW142" s="209"/>
      <c r="BX142" s="209"/>
      <c r="BY142" s="209"/>
      <c r="BZ142" s="209"/>
      <c r="CA142" s="78"/>
      <c r="CB142" s="78"/>
    </row>
    <row r="143" spans="1:85" s="81" customFormat="1" ht="7.5" customHeight="1">
      <c r="A143" s="130"/>
      <c r="B143" s="209"/>
      <c r="C143" s="209"/>
      <c r="D143" s="209"/>
      <c r="E143" s="209"/>
      <c r="F143" s="209"/>
      <c r="G143" s="209"/>
      <c r="H143" s="209"/>
      <c r="I143" s="209"/>
      <c r="J143" s="209"/>
      <c r="K143" s="209"/>
      <c r="L143" s="209"/>
      <c r="M143" s="209"/>
      <c r="N143" s="209"/>
      <c r="O143" s="209"/>
      <c r="P143" s="209"/>
      <c r="Q143" s="209"/>
      <c r="R143" s="209"/>
      <c r="S143" s="209"/>
      <c r="T143" s="209"/>
      <c r="U143" s="209"/>
      <c r="V143" s="209"/>
      <c r="W143" s="209"/>
      <c r="X143" s="209"/>
      <c r="Y143" s="209"/>
      <c r="Z143" s="209"/>
      <c r="AA143" s="209"/>
      <c r="AB143" s="209"/>
      <c r="AC143" s="209"/>
      <c r="AD143" s="209"/>
      <c r="AE143" s="209"/>
      <c r="AF143" s="209"/>
      <c r="AG143" s="209"/>
      <c r="AH143" s="209"/>
      <c r="AI143" s="209"/>
      <c r="AJ143" s="209"/>
      <c r="AK143" s="209"/>
      <c r="AL143" s="209"/>
      <c r="AM143" s="209"/>
      <c r="AN143" s="209"/>
      <c r="AO143" s="209"/>
      <c r="AP143" s="209"/>
      <c r="AQ143" s="209"/>
      <c r="AR143" s="209"/>
      <c r="AS143" s="209"/>
      <c r="AT143" s="209"/>
      <c r="AU143" s="209"/>
      <c r="AV143" s="209"/>
      <c r="AW143" s="209"/>
      <c r="AX143" s="209"/>
      <c r="AY143" s="209"/>
      <c r="AZ143" s="209"/>
      <c r="BA143" s="209"/>
      <c r="BB143" s="209"/>
      <c r="BC143" s="209"/>
      <c r="BD143" s="209"/>
      <c r="BE143" s="209"/>
      <c r="BF143" s="209"/>
      <c r="BG143" s="209"/>
      <c r="BH143" s="209"/>
      <c r="BI143" s="209"/>
      <c r="BJ143" s="209"/>
      <c r="BK143" s="209"/>
      <c r="BL143" s="209"/>
      <c r="BM143" s="209"/>
      <c r="BN143" s="209"/>
      <c r="BO143" s="209"/>
      <c r="BP143" s="209"/>
      <c r="BQ143" s="209"/>
      <c r="BR143" s="209"/>
      <c r="BS143" s="209"/>
      <c r="BT143" s="209"/>
      <c r="BU143" s="209"/>
      <c r="BV143" s="209"/>
      <c r="BW143" s="209"/>
      <c r="BX143" s="209"/>
      <c r="BY143" s="209"/>
      <c r="BZ143" s="209"/>
      <c r="CA143" s="78"/>
      <c r="CB143" s="78"/>
      <c r="CC143" s="78"/>
      <c r="CD143" s="78"/>
      <c r="CE143" s="78"/>
      <c r="CF143" s="78"/>
      <c r="CG143" s="78"/>
    </row>
    <row r="144" spans="1:80" ht="12.75">
      <c r="A144" s="134"/>
      <c r="B144" s="209"/>
      <c r="C144" s="209"/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  <c r="AD144" s="209"/>
      <c r="AE144" s="209"/>
      <c r="AF144" s="209"/>
      <c r="AG144" s="209"/>
      <c r="AH144" s="209"/>
      <c r="AI144" s="209"/>
      <c r="AJ144" s="209"/>
      <c r="AK144" s="209"/>
      <c r="AL144" s="209"/>
      <c r="AM144" s="209"/>
      <c r="AN144" s="209"/>
      <c r="AO144" s="209"/>
      <c r="AP144" s="209"/>
      <c r="AQ144" s="209"/>
      <c r="AR144" s="209"/>
      <c r="AS144" s="209"/>
      <c r="AT144" s="209"/>
      <c r="AU144" s="209"/>
      <c r="AV144" s="209"/>
      <c r="AW144" s="209"/>
      <c r="AX144" s="209"/>
      <c r="AY144" s="209"/>
      <c r="AZ144" s="209"/>
      <c r="BA144" s="209"/>
      <c r="BB144" s="209"/>
      <c r="BC144" s="209"/>
      <c r="BD144" s="209"/>
      <c r="BE144" s="209"/>
      <c r="BF144" s="209"/>
      <c r="BG144" s="209"/>
      <c r="BH144" s="209"/>
      <c r="BI144" s="209"/>
      <c r="BJ144" s="209"/>
      <c r="BK144" s="209"/>
      <c r="BL144" s="209"/>
      <c r="BM144" s="209"/>
      <c r="BN144" s="209"/>
      <c r="BO144" s="209"/>
      <c r="BP144" s="209"/>
      <c r="BQ144" s="209"/>
      <c r="BR144" s="209"/>
      <c r="BS144" s="209"/>
      <c r="BT144" s="209"/>
      <c r="BU144" s="209"/>
      <c r="BV144" s="209"/>
      <c r="BW144" s="209"/>
      <c r="BX144" s="209"/>
      <c r="BY144" s="209"/>
      <c r="BZ144" s="209"/>
      <c r="CA144" s="78"/>
      <c r="CB144" s="78"/>
    </row>
    <row r="145" spans="1:85" s="81" customFormat="1" ht="7.5" customHeight="1">
      <c r="A145" s="134"/>
      <c r="B145" s="209"/>
      <c r="C145" s="209"/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09"/>
      <c r="AD145" s="209"/>
      <c r="AE145" s="209"/>
      <c r="AF145" s="209"/>
      <c r="AG145" s="209"/>
      <c r="AH145" s="209"/>
      <c r="AI145" s="209"/>
      <c r="AJ145" s="209"/>
      <c r="AK145" s="209"/>
      <c r="AL145" s="209"/>
      <c r="AM145" s="209"/>
      <c r="AN145" s="209"/>
      <c r="AO145" s="209"/>
      <c r="AP145" s="209"/>
      <c r="AQ145" s="209"/>
      <c r="AR145" s="209"/>
      <c r="AS145" s="209"/>
      <c r="AT145" s="209"/>
      <c r="AU145" s="209"/>
      <c r="AV145" s="209"/>
      <c r="AW145" s="209"/>
      <c r="AX145" s="209"/>
      <c r="AY145" s="209"/>
      <c r="AZ145" s="209"/>
      <c r="BA145" s="209"/>
      <c r="BB145" s="209"/>
      <c r="BC145" s="209"/>
      <c r="BD145" s="209"/>
      <c r="BE145" s="209"/>
      <c r="BF145" s="209"/>
      <c r="BG145" s="209"/>
      <c r="BH145" s="209"/>
      <c r="BI145" s="209"/>
      <c r="BJ145" s="209"/>
      <c r="BK145" s="209"/>
      <c r="BL145" s="209"/>
      <c r="BM145" s="209"/>
      <c r="BN145" s="209"/>
      <c r="BO145" s="209"/>
      <c r="BP145" s="209"/>
      <c r="BQ145" s="209"/>
      <c r="BR145" s="209"/>
      <c r="BS145" s="209"/>
      <c r="BT145" s="209"/>
      <c r="BU145" s="209"/>
      <c r="BV145" s="209"/>
      <c r="BW145" s="209"/>
      <c r="BX145" s="209"/>
      <c r="BY145" s="209"/>
      <c r="BZ145" s="209"/>
      <c r="CA145" s="78"/>
      <c r="CB145" s="78"/>
      <c r="CC145" s="78"/>
      <c r="CD145" s="78"/>
      <c r="CE145" s="78"/>
      <c r="CF145" s="78"/>
      <c r="CG145" s="78"/>
    </row>
    <row r="146" spans="1:85" s="81" customFormat="1" ht="12.75">
      <c r="A146" s="134"/>
      <c r="B146" s="209"/>
      <c r="C146" s="209"/>
      <c r="D146" s="209"/>
      <c r="E146" s="209"/>
      <c r="F146" s="209"/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09"/>
      <c r="AG146" s="209"/>
      <c r="AH146" s="209"/>
      <c r="AI146" s="209"/>
      <c r="AJ146" s="209"/>
      <c r="AK146" s="209"/>
      <c r="AL146" s="209"/>
      <c r="AM146" s="209"/>
      <c r="AN146" s="209"/>
      <c r="AO146" s="209"/>
      <c r="AP146" s="209"/>
      <c r="AQ146" s="209"/>
      <c r="AR146" s="209"/>
      <c r="AS146" s="209"/>
      <c r="AT146" s="209"/>
      <c r="AU146" s="209"/>
      <c r="AV146" s="209"/>
      <c r="AW146" s="209"/>
      <c r="AX146" s="209"/>
      <c r="AY146" s="209"/>
      <c r="AZ146" s="209"/>
      <c r="BA146" s="209"/>
      <c r="BB146" s="209"/>
      <c r="BC146" s="209"/>
      <c r="BD146" s="209"/>
      <c r="BE146" s="209"/>
      <c r="BF146" s="209"/>
      <c r="BG146" s="209"/>
      <c r="BH146" s="209"/>
      <c r="BI146" s="209"/>
      <c r="BJ146" s="209"/>
      <c r="BK146" s="209"/>
      <c r="BL146" s="209"/>
      <c r="BM146" s="209"/>
      <c r="BN146" s="209"/>
      <c r="BO146" s="209"/>
      <c r="BP146" s="209"/>
      <c r="BQ146" s="209"/>
      <c r="BR146" s="209"/>
      <c r="BS146" s="209"/>
      <c r="BT146" s="209"/>
      <c r="BU146" s="209"/>
      <c r="BV146" s="209"/>
      <c r="BW146" s="209"/>
      <c r="BX146" s="209"/>
      <c r="BY146" s="209"/>
      <c r="BZ146" s="209"/>
      <c r="CA146" s="78"/>
      <c r="CB146" s="78"/>
      <c r="CC146" s="78"/>
      <c r="CD146" s="78"/>
      <c r="CE146" s="78"/>
      <c r="CF146" s="78"/>
      <c r="CG146" s="78"/>
    </row>
    <row r="147" spans="1:85" s="81" customFormat="1" ht="7.5" customHeight="1">
      <c r="A147" s="134"/>
      <c r="B147" s="209"/>
      <c r="C147" s="209"/>
      <c r="D147" s="209"/>
      <c r="E147" s="209"/>
      <c r="F147" s="209"/>
      <c r="G147" s="209"/>
      <c r="H147" s="209"/>
      <c r="I147" s="209"/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09"/>
      <c r="AK147" s="209"/>
      <c r="AL147" s="209"/>
      <c r="AM147" s="209"/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09"/>
      <c r="BQ147" s="209"/>
      <c r="BR147" s="209"/>
      <c r="BS147" s="209"/>
      <c r="BT147" s="209"/>
      <c r="BU147" s="209"/>
      <c r="BV147" s="209"/>
      <c r="BW147" s="209"/>
      <c r="BX147" s="209"/>
      <c r="BY147" s="209"/>
      <c r="BZ147" s="209"/>
      <c r="CA147" s="78"/>
      <c r="CB147" s="78"/>
      <c r="CC147" s="78"/>
      <c r="CD147" s="78"/>
      <c r="CE147" s="78"/>
      <c r="CF147" s="78"/>
      <c r="CG147" s="78"/>
    </row>
    <row r="148" spans="1:85" s="81" customFormat="1" ht="12.75">
      <c r="A148" s="134"/>
      <c r="B148" s="209"/>
      <c r="C148" s="209"/>
      <c r="D148" s="209"/>
      <c r="E148" s="209"/>
      <c r="F148" s="209"/>
      <c r="G148" s="209"/>
      <c r="H148" s="209"/>
      <c r="I148" s="209"/>
      <c r="J148" s="209"/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09"/>
      <c r="AG148" s="209"/>
      <c r="AH148" s="209"/>
      <c r="AI148" s="209"/>
      <c r="AJ148" s="209"/>
      <c r="AK148" s="209"/>
      <c r="AL148" s="209"/>
      <c r="AM148" s="209"/>
      <c r="AN148" s="209"/>
      <c r="AO148" s="209"/>
      <c r="AP148" s="209"/>
      <c r="AQ148" s="209"/>
      <c r="AR148" s="209"/>
      <c r="AS148" s="209"/>
      <c r="AT148" s="209"/>
      <c r="AU148" s="209"/>
      <c r="AV148" s="209"/>
      <c r="AW148" s="209"/>
      <c r="AX148" s="209"/>
      <c r="AY148" s="209"/>
      <c r="AZ148" s="209"/>
      <c r="BA148" s="209"/>
      <c r="BB148" s="209"/>
      <c r="BC148" s="209"/>
      <c r="BD148" s="209"/>
      <c r="BE148" s="209"/>
      <c r="BF148" s="209"/>
      <c r="BG148" s="209"/>
      <c r="BH148" s="209"/>
      <c r="BI148" s="209"/>
      <c r="BJ148" s="209"/>
      <c r="BK148" s="209"/>
      <c r="BL148" s="209"/>
      <c r="BM148" s="209"/>
      <c r="BN148" s="209"/>
      <c r="BO148" s="209"/>
      <c r="BP148" s="209"/>
      <c r="BQ148" s="209"/>
      <c r="BR148" s="209"/>
      <c r="BS148" s="209"/>
      <c r="BT148" s="209"/>
      <c r="BU148" s="209"/>
      <c r="BV148" s="209"/>
      <c r="BW148" s="209"/>
      <c r="BX148" s="209"/>
      <c r="BY148" s="209"/>
      <c r="BZ148" s="209"/>
      <c r="CA148" s="78"/>
      <c r="CB148" s="78"/>
      <c r="CC148" s="78"/>
      <c r="CD148" s="78"/>
      <c r="CE148" s="78"/>
      <c r="CF148" s="78"/>
      <c r="CG148" s="78"/>
    </row>
    <row r="149" spans="1:85" s="81" customFormat="1" ht="7.5" customHeight="1">
      <c r="A149" s="129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78"/>
      <c r="CB149" s="78"/>
      <c r="CC149" s="78"/>
      <c r="CD149" s="78"/>
      <c r="CE149" s="78"/>
      <c r="CF149" s="78"/>
      <c r="CG149" s="78"/>
    </row>
    <row r="150" spans="1:80" ht="12.75">
      <c r="A150" s="129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78"/>
      <c r="CB150" s="78"/>
    </row>
    <row r="151" spans="1:85" s="81" customFormat="1" ht="12">
      <c r="A151" s="137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79"/>
      <c r="BH151" s="79"/>
      <c r="BI151" s="79"/>
      <c r="BJ151" s="79"/>
      <c r="BK151" s="79"/>
      <c r="BL151" s="79"/>
      <c r="BM151" s="79"/>
      <c r="BN151" s="79"/>
      <c r="BO151" s="79"/>
      <c r="BP151" s="79"/>
      <c r="BQ151" s="79"/>
      <c r="BR151" s="79"/>
      <c r="BS151" s="79"/>
      <c r="BT151" s="79"/>
      <c r="BU151" s="79"/>
      <c r="BV151" s="79"/>
      <c r="BW151" s="79"/>
      <c r="BX151" s="79"/>
      <c r="BY151" s="79"/>
      <c r="BZ151" s="79"/>
      <c r="CA151" s="78"/>
      <c r="CB151" s="78"/>
      <c r="CC151" s="78"/>
      <c r="CD151" s="78"/>
      <c r="CE151" s="78"/>
      <c r="CF151" s="78"/>
      <c r="CG151" s="78"/>
    </row>
    <row r="152" spans="1:85" s="81" customFormat="1" ht="12.75">
      <c r="A152" s="211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79"/>
      <c r="BO152" s="79"/>
      <c r="BP152" s="79"/>
      <c r="BQ152" s="79"/>
      <c r="BR152" s="79"/>
      <c r="BS152" s="79"/>
      <c r="BT152" s="79"/>
      <c r="BU152" s="79"/>
      <c r="BV152" s="79"/>
      <c r="BW152" s="79"/>
      <c r="BX152" s="79"/>
      <c r="BY152" s="79"/>
      <c r="BZ152" s="79"/>
      <c r="CA152" s="78"/>
      <c r="CB152" s="78"/>
      <c r="CC152" s="78"/>
      <c r="CD152" s="78"/>
      <c r="CE152" s="78"/>
      <c r="CF152" s="78"/>
      <c r="CG152" s="78"/>
    </row>
    <row r="153" spans="1:80" ht="12.75">
      <c r="A153" s="211"/>
      <c r="B153" s="210"/>
      <c r="C153" s="210"/>
      <c r="D153" s="210"/>
      <c r="E153" s="210"/>
      <c r="F153" s="210"/>
      <c r="G153" s="210"/>
      <c r="H153" s="210"/>
      <c r="I153" s="210"/>
      <c r="J153" s="210"/>
      <c r="K153" s="210"/>
      <c r="L153" s="210"/>
      <c r="M153" s="210"/>
      <c r="N153" s="210"/>
      <c r="O153" s="210"/>
      <c r="P153" s="210"/>
      <c r="Q153" s="210"/>
      <c r="R153" s="210"/>
      <c r="S153" s="210"/>
      <c r="T153" s="210"/>
      <c r="U153" s="210"/>
      <c r="V153" s="210"/>
      <c r="W153" s="210"/>
      <c r="X153" s="210"/>
      <c r="Y153" s="210"/>
      <c r="Z153" s="210"/>
      <c r="AA153" s="210"/>
      <c r="AB153" s="210"/>
      <c r="AC153" s="210"/>
      <c r="AD153" s="210"/>
      <c r="AE153" s="210"/>
      <c r="AF153" s="210"/>
      <c r="AG153" s="210"/>
      <c r="AH153" s="210"/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210"/>
      <c r="BD153" s="210"/>
      <c r="BE153" s="210"/>
      <c r="BF153" s="210"/>
      <c r="BG153" s="210"/>
      <c r="BH153" s="210"/>
      <c r="BI153" s="210"/>
      <c r="BJ153" s="210"/>
      <c r="BK153" s="210"/>
      <c r="BL153" s="210"/>
      <c r="BM153" s="210"/>
      <c r="BN153" s="210"/>
      <c r="BO153" s="210"/>
      <c r="BP153" s="210"/>
      <c r="BQ153" s="210"/>
      <c r="BR153" s="210"/>
      <c r="BS153" s="210"/>
      <c r="BT153" s="210"/>
      <c r="BU153" s="210"/>
      <c r="BV153" s="210"/>
      <c r="BW153" s="210"/>
      <c r="BX153" s="210"/>
      <c r="BY153" s="210"/>
      <c r="BZ153" s="210"/>
      <c r="CA153" s="78"/>
      <c r="CB153" s="78"/>
    </row>
    <row r="154" spans="1:85" s="81" customFormat="1" ht="12">
      <c r="A154" s="137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  <c r="BB154" s="78"/>
      <c r="BC154" s="78"/>
      <c r="BD154" s="78"/>
      <c r="BE154" s="78"/>
      <c r="BF154" s="78"/>
      <c r="BG154" s="78"/>
      <c r="BH154" s="78"/>
      <c r="BI154" s="78"/>
      <c r="BJ154" s="78"/>
      <c r="BK154" s="78"/>
      <c r="BL154" s="78"/>
      <c r="BM154" s="78"/>
      <c r="BN154" s="78"/>
      <c r="BO154" s="78"/>
      <c r="BP154" s="78"/>
      <c r="BQ154" s="78"/>
      <c r="BR154" s="78"/>
      <c r="BS154" s="78"/>
      <c r="BT154" s="78"/>
      <c r="BU154" s="78"/>
      <c r="BV154" s="78"/>
      <c r="BW154" s="78"/>
      <c r="BX154" s="78"/>
      <c r="BY154" s="78"/>
      <c r="BZ154" s="78"/>
      <c r="CA154" s="78"/>
      <c r="CB154" s="78"/>
      <c r="CC154" s="78"/>
      <c r="CD154" s="78"/>
      <c r="CE154" s="78"/>
      <c r="CF154" s="78"/>
      <c r="CG154" s="78"/>
    </row>
    <row r="155" spans="1:85" s="81" customFormat="1" ht="12">
      <c r="A155" s="13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  <c r="BW155" s="78"/>
      <c r="BX155" s="78"/>
      <c r="BY155" s="78"/>
      <c r="BZ155" s="78"/>
      <c r="CA155" s="78"/>
      <c r="CB155" s="78"/>
      <c r="CC155" s="78"/>
      <c r="CD155" s="78"/>
      <c r="CE155" s="78"/>
      <c r="CF155" s="78"/>
      <c r="CG155" s="78"/>
    </row>
    <row r="156" spans="79:80" ht="12">
      <c r="CA156" s="78"/>
      <c r="CB156" s="78"/>
    </row>
    <row r="157" spans="79:80" ht="12">
      <c r="CA157" s="78"/>
      <c r="CB157" s="78"/>
    </row>
    <row r="158" spans="79:80" ht="12">
      <c r="CA158" s="78"/>
      <c r="CB158" s="78"/>
    </row>
    <row r="159" spans="79:80" ht="12">
      <c r="CA159" s="78"/>
      <c r="CB159" s="78"/>
    </row>
    <row r="160" spans="79:80" ht="12">
      <c r="CA160" s="78"/>
      <c r="CB160" s="78"/>
    </row>
    <row r="161" spans="79:80" ht="12">
      <c r="CA161" s="78"/>
      <c r="CB161" s="78"/>
    </row>
    <row r="162" spans="79:80" ht="12">
      <c r="CA162" s="78"/>
      <c r="CB162" s="78"/>
    </row>
    <row r="163" spans="79:80" ht="12">
      <c r="CA163" s="78"/>
      <c r="CB163" s="78"/>
    </row>
    <row r="164" spans="79:80" ht="12">
      <c r="CA164" s="78"/>
      <c r="CB164" s="78"/>
    </row>
    <row r="165" spans="79:80" ht="12">
      <c r="CA165" s="78"/>
      <c r="CB165" s="78"/>
    </row>
    <row r="166" spans="79:80" ht="12">
      <c r="CA166" s="78"/>
      <c r="CB166" s="78"/>
    </row>
    <row r="167" spans="79:80" ht="12">
      <c r="CA167" s="78"/>
      <c r="CB167" s="78"/>
    </row>
    <row r="168" spans="79:80" ht="12">
      <c r="CA168" s="78"/>
      <c r="CB168" s="78"/>
    </row>
    <row r="169" spans="79:80" ht="12">
      <c r="CA169" s="78"/>
      <c r="CB169" s="78"/>
    </row>
    <row r="170" spans="79:80" ht="12">
      <c r="CA170" s="78"/>
      <c r="CB170" s="78"/>
    </row>
    <row r="171" spans="79:80" ht="12">
      <c r="CA171" s="78"/>
      <c r="CB171" s="78"/>
    </row>
    <row r="172" spans="79:80" ht="12">
      <c r="CA172" s="78"/>
      <c r="CB172" s="78"/>
    </row>
    <row r="173" spans="79:80" ht="12">
      <c r="CA173" s="78"/>
      <c r="CB173" s="78"/>
    </row>
    <row r="174" spans="79:80" ht="12">
      <c r="CA174" s="78"/>
      <c r="CB174" s="78"/>
    </row>
    <row r="175" spans="79:80" ht="12">
      <c r="CA175" s="78"/>
      <c r="CB175" s="78"/>
    </row>
    <row r="176" spans="79:80" ht="12">
      <c r="CA176" s="78"/>
      <c r="CB176" s="78"/>
    </row>
    <row r="177" spans="79:80" ht="12">
      <c r="CA177" s="78"/>
      <c r="CB177" s="78"/>
    </row>
    <row r="178" spans="79:80" ht="12">
      <c r="CA178" s="78"/>
      <c r="CB178" s="78"/>
    </row>
    <row r="179" spans="79:80" ht="12">
      <c r="CA179" s="78"/>
      <c r="CB179" s="78"/>
    </row>
    <row r="180" spans="79:80" ht="12">
      <c r="CA180" s="78"/>
      <c r="CB180" s="78"/>
    </row>
    <row r="181" spans="79:80" ht="12">
      <c r="CA181" s="78"/>
      <c r="CB181" s="78"/>
    </row>
    <row r="182" spans="79:80" ht="12">
      <c r="CA182" s="78"/>
      <c r="CB182" s="78"/>
    </row>
    <row r="183" spans="79:80" ht="12">
      <c r="CA183" s="78"/>
      <c r="CB183" s="78"/>
    </row>
    <row r="184" spans="79:80" ht="12">
      <c r="CA184" s="78"/>
      <c r="CB184" s="78"/>
    </row>
    <row r="185" spans="79:80" ht="12">
      <c r="CA185" s="78"/>
      <c r="CB185" s="78"/>
    </row>
    <row r="186" spans="79:80" ht="12">
      <c r="CA186" s="78"/>
      <c r="CB186" s="78"/>
    </row>
    <row r="187" spans="79:80" ht="15" customHeight="1">
      <c r="CA187" s="78"/>
      <c r="CB187" s="78"/>
    </row>
    <row r="188" spans="79:80" ht="15.75" customHeight="1">
      <c r="CA188" s="78"/>
      <c r="CB188" s="78"/>
    </row>
    <row r="189" spans="79:80" ht="13.5" customHeight="1">
      <c r="CA189" s="78"/>
      <c r="CB189" s="78"/>
    </row>
    <row r="190" spans="79:80" ht="12">
      <c r="CA190" s="78"/>
      <c r="CB190" s="78"/>
    </row>
    <row r="191" spans="79:80" ht="12">
      <c r="CA191" s="78"/>
      <c r="CB191" s="78"/>
    </row>
    <row r="192" spans="79:80" ht="12.75" customHeight="1">
      <c r="CA192" s="78"/>
      <c r="CB192" s="78"/>
    </row>
    <row r="193" spans="79:80" ht="12.75" customHeight="1">
      <c r="CA193" s="78"/>
      <c r="CB193" s="78"/>
    </row>
    <row r="194" spans="79:80" ht="12">
      <c r="CA194" s="78"/>
      <c r="CB194" s="78"/>
    </row>
    <row r="195" spans="79:80" ht="12">
      <c r="CA195" s="78"/>
      <c r="CB195" s="78"/>
    </row>
    <row r="196" spans="79:80" ht="12">
      <c r="CA196" s="78"/>
      <c r="CB196" s="78"/>
    </row>
    <row r="197" spans="79:80" ht="12">
      <c r="CA197" s="78"/>
      <c r="CB197" s="78"/>
    </row>
    <row r="198" spans="79:80" ht="12">
      <c r="CA198" s="78"/>
      <c r="CB198" s="78"/>
    </row>
    <row r="199" spans="79:80" ht="12" customHeight="1">
      <c r="CA199" s="78"/>
      <c r="CB199" s="78"/>
    </row>
    <row r="200" spans="79:80" ht="12" customHeight="1">
      <c r="CA200" s="78"/>
      <c r="CB200" s="78"/>
    </row>
    <row r="201" spans="79:80" ht="12" customHeight="1">
      <c r="CA201" s="78"/>
      <c r="CB201" s="78"/>
    </row>
    <row r="202" spans="79:80" ht="12">
      <c r="CA202" s="78"/>
      <c r="CB202" s="78"/>
    </row>
    <row r="203" spans="79:80" ht="12">
      <c r="CA203" s="78"/>
      <c r="CB203" s="78"/>
    </row>
    <row r="204" spans="79:80" ht="12">
      <c r="CA204" s="78"/>
      <c r="CB204" s="78"/>
    </row>
    <row r="205" spans="79:80" ht="12">
      <c r="CA205" s="78"/>
      <c r="CB205" s="78"/>
    </row>
    <row r="206" spans="79:80" ht="12">
      <c r="CA206" s="78"/>
      <c r="CB206" s="78"/>
    </row>
    <row r="207" spans="79:80" ht="12">
      <c r="CA207" s="78"/>
      <c r="CB207" s="78"/>
    </row>
    <row r="208" spans="79:80" ht="12">
      <c r="CA208" s="78"/>
      <c r="CB208" s="78"/>
    </row>
    <row r="209" spans="79:80" ht="12">
      <c r="CA209" s="78"/>
      <c r="CB209" s="78"/>
    </row>
    <row r="210" spans="79:80" ht="12">
      <c r="CA210" s="78"/>
      <c r="CB210" s="78"/>
    </row>
    <row r="211" spans="79:80" ht="12">
      <c r="CA211" s="78"/>
      <c r="CB211" s="78"/>
    </row>
    <row r="212" spans="79:80" ht="12">
      <c r="CA212" s="78"/>
      <c r="CB212" s="78"/>
    </row>
    <row r="213" spans="79:80" ht="12">
      <c r="CA213" s="78"/>
      <c r="CB213" s="78"/>
    </row>
    <row r="214" spans="79:80" ht="12">
      <c r="CA214" s="78"/>
      <c r="CB214" s="78"/>
    </row>
    <row r="215" spans="79:80" ht="12">
      <c r="CA215" s="78"/>
      <c r="CB215" s="78"/>
    </row>
    <row r="216" spans="79:80" ht="12">
      <c r="CA216" s="78"/>
      <c r="CB216" s="78"/>
    </row>
    <row r="217" spans="79:80" ht="12">
      <c r="CA217" s="78"/>
      <c r="CB217" s="78"/>
    </row>
    <row r="218" spans="79:80" ht="12">
      <c r="CA218" s="78"/>
      <c r="CB218" s="78"/>
    </row>
    <row r="219" spans="79:80" ht="12">
      <c r="CA219" s="78"/>
      <c r="CB219" s="78"/>
    </row>
    <row r="220" spans="79:80" ht="12">
      <c r="CA220" s="78"/>
      <c r="CB220" s="78"/>
    </row>
    <row r="221" spans="79:80" ht="12">
      <c r="CA221" s="78"/>
      <c r="CB221" s="78"/>
    </row>
    <row r="222" spans="79:80" ht="12">
      <c r="CA222" s="78"/>
      <c r="CB222" s="78"/>
    </row>
    <row r="223" spans="79:80" ht="12">
      <c r="CA223" s="78"/>
      <c r="CB223" s="78"/>
    </row>
    <row r="224" spans="79:80" ht="12">
      <c r="CA224" s="78"/>
      <c r="CB224" s="78"/>
    </row>
    <row r="225" spans="79:80" ht="12">
      <c r="CA225" s="78"/>
      <c r="CB225" s="78"/>
    </row>
    <row r="226" spans="79:80" ht="12">
      <c r="CA226" s="78"/>
      <c r="CB226" s="78"/>
    </row>
    <row r="227" spans="79:80" ht="12">
      <c r="CA227" s="78"/>
      <c r="CB227" s="78"/>
    </row>
    <row r="228" spans="79:80" ht="12">
      <c r="CA228" s="78"/>
      <c r="CB228" s="78"/>
    </row>
    <row r="229" spans="79:80" ht="12">
      <c r="CA229" s="78"/>
      <c r="CB229" s="78"/>
    </row>
    <row r="230" spans="79:80" ht="12">
      <c r="CA230" s="78"/>
      <c r="CB230" s="78"/>
    </row>
    <row r="231" spans="79:80" ht="12">
      <c r="CA231" s="78"/>
      <c r="CB231" s="78"/>
    </row>
    <row r="232" spans="79:80" ht="12">
      <c r="CA232" s="78"/>
      <c r="CB232" s="78"/>
    </row>
    <row r="233" spans="79:80" ht="12">
      <c r="CA233" s="78"/>
      <c r="CB233" s="78"/>
    </row>
    <row r="234" spans="79:80" ht="12">
      <c r="CA234" s="78"/>
      <c r="CB234" s="78"/>
    </row>
    <row r="235" spans="79:80" ht="12">
      <c r="CA235" s="78"/>
      <c r="CB235" s="78"/>
    </row>
    <row r="236" spans="79:80" ht="12">
      <c r="CA236" s="78"/>
      <c r="CB236" s="78"/>
    </row>
    <row r="237" spans="79:80" ht="12">
      <c r="CA237" s="78"/>
      <c r="CB237" s="78"/>
    </row>
    <row r="238" spans="79:80" ht="12">
      <c r="CA238" s="78"/>
      <c r="CB238" s="78"/>
    </row>
    <row r="239" ht="12.75">
      <c r="CB239" s="76"/>
    </row>
    <row r="240" ht="12.75">
      <c r="CB240" s="76"/>
    </row>
    <row r="241" ht="12.75">
      <c r="CB241" s="76"/>
    </row>
    <row r="242" ht="12.75">
      <c r="CB242" s="76"/>
    </row>
    <row r="243" ht="12.75">
      <c r="CB243" s="76"/>
    </row>
    <row r="244" ht="12.75">
      <c r="CB244" s="76"/>
    </row>
    <row r="245" spans="79:80" ht="12.75">
      <c r="CA245" s="11"/>
      <c r="CB245" s="76"/>
    </row>
    <row r="246" ht="12.75">
      <c r="CB246" s="7"/>
    </row>
    <row r="248" ht="12.75">
      <c r="CA248" s="11"/>
    </row>
    <row r="250" ht="12.75">
      <c r="CA250" s="14"/>
    </row>
    <row r="251" ht="12.75">
      <c r="CA251" s="14"/>
    </row>
    <row r="252" ht="12.75">
      <c r="CA252" s="14"/>
    </row>
    <row r="254" ht="12.75">
      <c r="CB254" s="11"/>
    </row>
    <row r="257" ht="12.75">
      <c r="CB257" s="11"/>
    </row>
    <row r="259" spans="1:80" s="81" customFormat="1" ht="12.75">
      <c r="A259" s="137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  <c r="AJ259" s="78"/>
      <c r="AK259" s="78"/>
      <c r="AL259" s="78"/>
      <c r="AM259" s="78"/>
      <c r="AN259" s="78"/>
      <c r="AO259" s="78"/>
      <c r="AP259" s="78"/>
      <c r="AQ259" s="78"/>
      <c r="AR259" s="78"/>
      <c r="AS259" s="78"/>
      <c r="AT259" s="78"/>
      <c r="AU259" s="78"/>
      <c r="AV259" s="78"/>
      <c r="AW259" s="78"/>
      <c r="AX259" s="78"/>
      <c r="AY259" s="78"/>
      <c r="AZ259" s="78"/>
      <c r="BA259" s="78"/>
      <c r="BB259" s="78"/>
      <c r="BC259" s="78"/>
      <c r="BD259" s="78"/>
      <c r="BE259" s="78"/>
      <c r="BF259" s="78"/>
      <c r="BG259" s="78"/>
      <c r="BH259" s="78"/>
      <c r="BI259" s="78"/>
      <c r="BJ259" s="78"/>
      <c r="BK259" s="78"/>
      <c r="BL259" s="78"/>
      <c r="BM259" s="78"/>
      <c r="BN259" s="78"/>
      <c r="BO259" s="78"/>
      <c r="BP259" s="78"/>
      <c r="BQ259" s="78"/>
      <c r="BR259" s="78"/>
      <c r="BS259" s="78"/>
      <c r="BT259" s="78"/>
      <c r="BU259" s="78"/>
      <c r="BV259" s="78"/>
      <c r="BW259" s="78"/>
      <c r="BX259" s="78"/>
      <c r="BY259" s="78"/>
      <c r="BZ259" s="78"/>
      <c r="CA259" s="77"/>
      <c r="CB259" s="14"/>
    </row>
    <row r="260" ht="12.75">
      <c r="CB260" s="14"/>
    </row>
    <row r="261" spans="79:80" ht="12.75">
      <c r="CA261" s="8"/>
      <c r="CB261" s="14"/>
    </row>
    <row r="262" ht="12.75">
      <c r="CA262" s="8"/>
    </row>
    <row r="263" ht="12.75">
      <c r="CA263" s="8"/>
    </row>
    <row r="264" ht="12.75">
      <c r="CA264" s="9"/>
    </row>
    <row r="270" ht="12.75">
      <c r="CB270" s="8"/>
    </row>
    <row r="271" ht="12.75">
      <c r="CB271" s="8"/>
    </row>
    <row r="272" ht="12.75">
      <c r="CB272" s="8"/>
    </row>
    <row r="273" ht="12.75">
      <c r="CB273" s="9"/>
    </row>
  </sheetData>
  <sheetProtection/>
  <mergeCells count="1">
    <mergeCell ref="BU5:BV6"/>
  </mergeCells>
  <printOptions/>
  <pageMargins left="0.5511811023622047" right="0.5511811023622047" top="1.2598425196850394" bottom="0.3937007874015748" header="0.7086614173228347" footer="0.5511811023622047"/>
  <pageSetup orientation="portrait" paperSize="9" scale="90" r:id="rId1"/>
  <headerFooter alignWithMargins="0">
    <oddHeader>&amp;C&amp;"Times New Roman,Bold"&amp;14 
3.5. SUNDURLIÐUN Á ÖÐRUM
 FJÁRFESTINGUM Í EFNAHAGSREIKNINGI 31.12.1997</oddHeader>
  </headerFooter>
  <rowBreaks count="3" manualBreakCount="3">
    <brk id="141" max="65535" man="1"/>
    <brk id="199" max="65535" man="1"/>
    <brk id="259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29"/>
  <sheetViews>
    <sheetView tabSelected="1" view="pageBreakPreview" zoomScale="60" zoomScalePageLayoutView="0" workbookViewId="0" topLeftCell="A1">
      <selection activeCell="C2" sqref="C2"/>
    </sheetView>
  </sheetViews>
  <sheetFormatPr defaultColWidth="9.00390625" defaultRowHeight="12.75"/>
  <cols>
    <col min="1" max="1" width="2.875" style="16" customWidth="1"/>
    <col min="2" max="2" width="1.37890625" style="16" customWidth="1"/>
    <col min="3" max="3" width="32.125" style="18" customWidth="1"/>
    <col min="4" max="4" width="5.125" style="16" customWidth="1"/>
    <col min="5" max="5" width="12.625" style="17" customWidth="1"/>
    <col min="6" max="6" width="4.375" style="18" customWidth="1"/>
    <col min="7" max="7" width="12.625" style="17" customWidth="1"/>
    <col min="8" max="8" width="5.50390625" style="18" customWidth="1"/>
    <col min="9" max="9" width="10.625" style="18" customWidth="1"/>
    <col min="10" max="11" width="0" style="18" hidden="1" customWidth="1"/>
    <col min="12" max="16384" width="9.00390625" style="18" customWidth="1"/>
  </cols>
  <sheetData>
    <row r="1" spans="1:9" ht="18.75">
      <c r="A1" s="275"/>
      <c r="B1" s="275"/>
      <c r="C1" s="276"/>
      <c r="D1" s="277" t="s">
        <v>551</v>
      </c>
      <c r="E1" s="278"/>
      <c r="F1" s="276"/>
      <c r="G1" s="278"/>
      <c r="H1" s="276"/>
      <c r="I1" s="276"/>
    </row>
    <row r="2" spans="1:9" ht="15.75">
      <c r="A2" s="275"/>
      <c r="B2" s="275"/>
      <c r="C2" s="276"/>
      <c r="D2" s="279"/>
      <c r="E2" s="278"/>
      <c r="F2" s="276"/>
      <c r="G2" s="278"/>
      <c r="H2" s="276"/>
      <c r="I2" s="276"/>
    </row>
    <row r="3" spans="1:9" ht="15.75">
      <c r="A3" s="275"/>
      <c r="B3" s="275"/>
      <c r="C3" s="276"/>
      <c r="D3" s="279"/>
      <c r="E3" s="280" t="s">
        <v>220</v>
      </c>
      <c r="F3" s="281"/>
      <c r="G3" s="280" t="s">
        <v>220</v>
      </c>
      <c r="H3" s="281"/>
      <c r="I3" s="282" t="s">
        <v>221</v>
      </c>
    </row>
    <row r="4" spans="1:9" ht="12.75">
      <c r="A4" s="275"/>
      <c r="B4" s="275"/>
      <c r="C4" s="276"/>
      <c r="D4" s="275"/>
      <c r="E4" s="283" t="s">
        <v>550</v>
      </c>
      <c r="F4" s="281"/>
      <c r="G4" s="283" t="s">
        <v>222</v>
      </c>
      <c r="H4" s="281"/>
      <c r="I4" s="284" t="s">
        <v>552</v>
      </c>
    </row>
    <row r="5" spans="1:9" ht="12.75">
      <c r="A5" s="275"/>
      <c r="B5" s="275"/>
      <c r="C5" s="276"/>
      <c r="D5" s="275"/>
      <c r="E5" s="285" t="s">
        <v>223</v>
      </c>
      <c r="F5" s="286"/>
      <c r="G5" s="285" t="s">
        <v>223</v>
      </c>
      <c r="H5" s="286"/>
      <c r="I5" s="286" t="s">
        <v>224</v>
      </c>
    </row>
    <row r="6" spans="1:9" ht="9" customHeight="1">
      <c r="A6" s="275"/>
      <c r="B6" s="275"/>
      <c r="C6" s="276"/>
      <c r="D6" s="275"/>
      <c r="G6" s="278"/>
      <c r="H6" s="276"/>
      <c r="I6" s="276"/>
    </row>
    <row r="7" spans="1:9" ht="12.75">
      <c r="A7" s="275" t="s">
        <v>225</v>
      </c>
      <c r="B7" s="275"/>
      <c r="C7" s="276" t="s">
        <v>226</v>
      </c>
      <c r="D7" s="275"/>
      <c r="E7" s="17">
        <f>'3.1. Efnah.'!B$61</f>
        <v>53359497.07600001</v>
      </c>
      <c r="G7" s="278">
        <v>45478094</v>
      </c>
      <c r="H7" s="276"/>
      <c r="I7" s="287">
        <f aca="true" t="shared" si="0" ref="I7:I21">(E7/G7)-1</f>
        <v>0.17330108592501725</v>
      </c>
    </row>
    <row r="8" spans="1:9" ht="12.75">
      <c r="A8" s="288" t="s">
        <v>227</v>
      </c>
      <c r="B8" s="275"/>
      <c r="C8" s="289" t="s">
        <v>647</v>
      </c>
      <c r="D8" s="275" t="s">
        <v>230</v>
      </c>
      <c r="E8" s="17">
        <f>'3.1. Efnah.'!C$61</f>
        <v>33665680.66599999</v>
      </c>
      <c r="G8" s="278">
        <v>31463129</v>
      </c>
      <c r="H8" s="276"/>
      <c r="I8" s="287">
        <f t="shared" si="0"/>
        <v>0.07000421560106096</v>
      </c>
    </row>
    <row r="9" spans="1:9" ht="12.75">
      <c r="A9" s="288" t="s">
        <v>229</v>
      </c>
      <c r="B9" s="275"/>
      <c r="C9" s="289" t="s">
        <v>463</v>
      </c>
      <c r="D9" s="288" t="s">
        <v>234</v>
      </c>
      <c r="E9" s="17">
        <f>'3.1. Efnah.'!D61</f>
        <v>32885818.537000004</v>
      </c>
      <c r="G9" s="278">
        <v>29286142</v>
      </c>
      <c r="H9" s="276"/>
      <c r="I9" s="287">
        <f t="shared" si="0"/>
        <v>0.12291398904642348</v>
      </c>
    </row>
    <row r="10" spans="1:9" ht="12.75">
      <c r="A10" s="288" t="s">
        <v>231</v>
      </c>
      <c r="B10" s="275"/>
      <c r="C10" s="276" t="s">
        <v>228</v>
      </c>
      <c r="D10" s="275"/>
      <c r="E10" s="17">
        <f>'3.1. Efnah.'!E61</f>
        <v>28537644.837</v>
      </c>
      <c r="G10" s="278">
        <v>25359408</v>
      </c>
      <c r="H10" s="276"/>
      <c r="I10" s="287">
        <f t="shared" si="0"/>
        <v>0.12532772204303821</v>
      </c>
    </row>
    <row r="11" spans="1:9" ht="12.75">
      <c r="A11" s="288" t="s">
        <v>233</v>
      </c>
      <c r="B11" s="275"/>
      <c r="C11" s="276" t="s">
        <v>232</v>
      </c>
      <c r="D11" s="288" t="s">
        <v>234</v>
      </c>
      <c r="E11" s="17">
        <f>'3.1. Efnah.'!F61</f>
        <v>27576586.468999997</v>
      </c>
      <c r="G11" s="278">
        <v>24329832</v>
      </c>
      <c r="H11" s="276"/>
      <c r="I11" s="287">
        <f t="shared" si="0"/>
        <v>0.13344746766027793</v>
      </c>
    </row>
    <row r="12" spans="1:9" ht="12.75">
      <c r="A12" s="275" t="s">
        <v>235</v>
      </c>
      <c r="B12" s="275"/>
      <c r="C12" s="276" t="s">
        <v>236</v>
      </c>
      <c r="D12" s="275"/>
      <c r="E12" s="17">
        <f>'3.1. Efnah.'!G61</f>
        <v>13200552.79</v>
      </c>
      <c r="G12" s="278">
        <v>11557014</v>
      </c>
      <c r="H12" s="276"/>
      <c r="I12" s="287">
        <f t="shared" si="0"/>
        <v>0.14221136964963432</v>
      </c>
    </row>
    <row r="13" spans="1:9" ht="12.75">
      <c r="A13" s="288" t="s">
        <v>237</v>
      </c>
      <c r="B13" s="275"/>
      <c r="C13" s="276" t="s">
        <v>238</v>
      </c>
      <c r="D13" s="275" t="s">
        <v>234</v>
      </c>
      <c r="E13" s="17">
        <f>'3.1. Efnah.'!H61</f>
        <v>12830016.408</v>
      </c>
      <c r="G13" s="278">
        <v>11258233</v>
      </c>
      <c r="H13" s="276"/>
      <c r="I13" s="287">
        <f t="shared" si="0"/>
        <v>0.13961190961316938</v>
      </c>
    </row>
    <row r="14" spans="1:9" ht="12.75">
      <c r="A14" s="288" t="s">
        <v>239</v>
      </c>
      <c r="B14" s="275"/>
      <c r="C14" s="276" t="s">
        <v>240</v>
      </c>
      <c r="D14" s="275"/>
      <c r="E14" s="17">
        <f>'3.1. Efnah.'!I$61</f>
        <v>11101280.954</v>
      </c>
      <c r="G14" s="278">
        <v>9662787</v>
      </c>
      <c r="H14" s="276"/>
      <c r="I14" s="287">
        <f t="shared" si="0"/>
        <v>0.14886946737002482</v>
      </c>
    </row>
    <row r="15" spans="1:9" ht="12.75">
      <c r="A15" s="288" t="s">
        <v>241</v>
      </c>
      <c r="B15" s="275"/>
      <c r="C15" s="276" t="s">
        <v>244</v>
      </c>
      <c r="D15" s="275" t="s">
        <v>234</v>
      </c>
      <c r="E15" s="17">
        <f>'3.1. Efnah.'!J$61</f>
        <v>10543644.678</v>
      </c>
      <c r="G15" s="278">
        <v>8693806</v>
      </c>
      <c r="H15" s="276"/>
      <c r="I15" s="287">
        <f t="shared" si="0"/>
        <v>0.21277662257473873</v>
      </c>
    </row>
    <row r="16" spans="1:9" ht="12.75">
      <c r="A16" s="288" t="s">
        <v>243</v>
      </c>
      <c r="B16" s="275"/>
      <c r="C16" s="289" t="s">
        <v>586</v>
      </c>
      <c r="D16" s="288" t="s">
        <v>480</v>
      </c>
      <c r="E16" s="17">
        <f>'3.1. Efnah.'!K$61</f>
        <v>9949202.255999997</v>
      </c>
      <c r="G16" s="17">
        <f>375329+1271326+6717125</f>
        <v>8363780</v>
      </c>
      <c r="H16" s="276"/>
      <c r="I16" s="287">
        <f t="shared" si="0"/>
        <v>0.18955810124130434</v>
      </c>
    </row>
    <row r="17" spans="1:9" ht="12.75">
      <c r="A17" s="275" t="s">
        <v>245</v>
      </c>
      <c r="B17" s="275"/>
      <c r="C17" s="276" t="s">
        <v>242</v>
      </c>
      <c r="D17" s="275"/>
      <c r="E17" s="17">
        <f>'3.1. Efnah.'!L$61</f>
        <v>9062759.103</v>
      </c>
      <c r="G17" s="278">
        <v>8164441</v>
      </c>
      <c r="H17" s="276"/>
      <c r="I17" s="287">
        <f t="shared" si="0"/>
        <v>0.11002812109242988</v>
      </c>
    </row>
    <row r="18" spans="1:9" ht="12.75">
      <c r="A18" s="288" t="s">
        <v>247</v>
      </c>
      <c r="B18" s="275"/>
      <c r="C18" s="276" t="s">
        <v>246</v>
      </c>
      <c r="D18" s="275" t="s">
        <v>234</v>
      </c>
      <c r="E18" s="17">
        <f>'3.1. Efnah.'!M$61</f>
        <v>8649231.378</v>
      </c>
      <c r="G18" s="278">
        <v>7768601</v>
      </c>
      <c r="H18" s="276"/>
      <c r="I18" s="287">
        <f t="shared" si="0"/>
        <v>0.11335765319907676</v>
      </c>
    </row>
    <row r="19" spans="1:9" ht="12.75">
      <c r="A19" s="288" t="s">
        <v>248</v>
      </c>
      <c r="B19" s="275"/>
      <c r="C19" s="276" t="s">
        <v>252</v>
      </c>
      <c r="D19" s="275"/>
      <c r="E19" s="17">
        <f>'3.1. Efnah.'!N$61</f>
        <v>7651760.455999999</v>
      </c>
      <c r="G19" s="278">
        <v>6560581</v>
      </c>
      <c r="H19" s="276"/>
      <c r="I19" s="287">
        <f>(E19/G19)-1</f>
        <v>0.16632360091278486</v>
      </c>
    </row>
    <row r="20" spans="1:9" ht="12.75">
      <c r="A20" s="288" t="s">
        <v>249</v>
      </c>
      <c r="B20" s="275"/>
      <c r="C20" s="276" t="s">
        <v>250</v>
      </c>
      <c r="D20" s="275" t="s">
        <v>234</v>
      </c>
      <c r="E20" s="17">
        <f>'3.1. Efnah.'!O$61</f>
        <v>7227714.100999999</v>
      </c>
      <c r="G20" s="278">
        <v>6410176</v>
      </c>
      <c r="H20" s="276"/>
      <c r="I20" s="287">
        <f>(E20/G20)-1</f>
        <v>0.12753754358694658</v>
      </c>
    </row>
    <row r="21" spans="1:9" ht="12.75">
      <c r="A21" s="288" t="s">
        <v>251</v>
      </c>
      <c r="B21" s="275"/>
      <c r="C21" s="289" t="s">
        <v>661</v>
      </c>
      <c r="D21" s="275" t="s">
        <v>230</v>
      </c>
      <c r="E21" s="17">
        <f>'3.1. Efnah.'!P$61</f>
        <v>7097774.622</v>
      </c>
      <c r="G21" s="278">
        <v>6457379</v>
      </c>
      <c r="H21" s="276"/>
      <c r="I21" s="287">
        <f t="shared" si="0"/>
        <v>0.09917268631746734</v>
      </c>
    </row>
    <row r="22" spans="1:9" ht="12.75">
      <c r="A22" s="288" t="s">
        <v>253</v>
      </c>
      <c r="B22" s="275"/>
      <c r="C22" s="289" t="s">
        <v>634</v>
      </c>
      <c r="D22" s="275" t="s">
        <v>234</v>
      </c>
      <c r="E22" s="17">
        <f>'3.1. Efnah.'!Q$61</f>
        <v>6937468.118</v>
      </c>
      <c r="G22" s="278">
        <v>6171374</v>
      </c>
      <c r="H22" s="276"/>
      <c r="I22" s="287">
        <f aca="true" t="shared" si="1" ref="I22:I46">(E22/G22)-1</f>
        <v>0.12413671866265119</v>
      </c>
    </row>
    <row r="23" spans="1:9" ht="12.75">
      <c r="A23" s="288" t="s">
        <v>254</v>
      </c>
      <c r="B23" s="275"/>
      <c r="C23" s="276" t="s">
        <v>256</v>
      </c>
      <c r="D23" s="275"/>
      <c r="E23" s="17">
        <f>'3.1. Efnah.'!R$61</f>
        <v>6093837.629</v>
      </c>
      <c r="G23" s="278">
        <v>5188863</v>
      </c>
      <c r="H23" s="276"/>
      <c r="I23" s="287">
        <f t="shared" si="1"/>
        <v>0.1744071155858229</v>
      </c>
    </row>
    <row r="24" spans="1:9" ht="12.75">
      <c r="A24" s="288" t="s">
        <v>255</v>
      </c>
      <c r="B24" s="275"/>
      <c r="C24" s="276" t="s">
        <v>259</v>
      </c>
      <c r="D24" s="275" t="s">
        <v>234</v>
      </c>
      <c r="E24" s="17">
        <f>'3.1. Efnah.'!S$61</f>
        <v>4922047.122</v>
      </c>
      <c r="G24" s="278">
        <v>4423985</v>
      </c>
      <c r="H24" s="276"/>
      <c r="I24" s="287">
        <f t="shared" si="1"/>
        <v>0.11258223569926229</v>
      </c>
    </row>
    <row r="25" spans="1:9" ht="12.75">
      <c r="A25" s="288" t="s">
        <v>257</v>
      </c>
      <c r="B25" s="275"/>
      <c r="C25" s="289" t="s">
        <v>656</v>
      </c>
      <c r="D25" s="275"/>
      <c r="E25" s="17">
        <f>'3.1. Efnah.'!T$61</f>
        <v>4773176.729</v>
      </c>
      <c r="G25" s="278">
        <v>4324819</v>
      </c>
      <c r="H25" s="276"/>
      <c r="I25" s="287">
        <f t="shared" si="1"/>
        <v>0.10367086553217608</v>
      </c>
    </row>
    <row r="26" spans="1:9" ht="12.75">
      <c r="A26" s="288" t="s">
        <v>258</v>
      </c>
      <c r="B26" s="275"/>
      <c r="C26" s="276" t="s">
        <v>278</v>
      </c>
      <c r="D26" s="275" t="s">
        <v>230</v>
      </c>
      <c r="E26" s="17">
        <f>'3.1. Efnah.'!U$61</f>
        <v>4701049.999999999</v>
      </c>
      <c r="G26" s="278">
        <v>1994037</v>
      </c>
      <c r="H26" s="276"/>
      <c r="I26" s="287">
        <f t="shared" si="1"/>
        <v>1.3575540473922998</v>
      </c>
    </row>
    <row r="27" spans="1:9" ht="12.75">
      <c r="A27" s="288" t="s">
        <v>260</v>
      </c>
      <c r="B27" s="275"/>
      <c r="C27" s="289" t="s">
        <v>470</v>
      </c>
      <c r="D27" s="275" t="s">
        <v>230</v>
      </c>
      <c r="E27" s="17">
        <f>'3.1. Efnah.'!V$61</f>
        <v>4281023.992</v>
      </c>
      <c r="G27" s="278">
        <v>3873177</v>
      </c>
      <c r="H27" s="276"/>
      <c r="I27" s="287">
        <f t="shared" si="1"/>
        <v>0.10530037537659642</v>
      </c>
    </row>
    <row r="28" spans="1:9" ht="12.75">
      <c r="A28" s="288" t="s">
        <v>261</v>
      </c>
      <c r="B28" s="275"/>
      <c r="C28" s="276" t="s">
        <v>265</v>
      </c>
      <c r="D28" s="275" t="s">
        <v>266</v>
      </c>
      <c r="E28" s="17">
        <f>'3.1. Efnah.'!W$61</f>
        <v>4250973.576</v>
      </c>
      <c r="G28" s="278">
        <v>3526134</v>
      </c>
      <c r="H28" s="276"/>
      <c r="I28" s="287">
        <f t="shared" si="1"/>
        <v>0.20556211873967367</v>
      </c>
    </row>
    <row r="29" spans="1:9" ht="12.75">
      <c r="A29" s="288" t="s">
        <v>262</v>
      </c>
      <c r="B29" s="275"/>
      <c r="C29" s="276" t="s">
        <v>268</v>
      </c>
      <c r="D29" s="275" t="s">
        <v>234</v>
      </c>
      <c r="E29" s="17">
        <f>'3.1. Efnah.'!X$61</f>
        <v>3441793.974</v>
      </c>
      <c r="G29" s="278">
        <v>3056911</v>
      </c>
      <c r="H29" s="276"/>
      <c r="I29" s="287">
        <f t="shared" si="1"/>
        <v>0.12590584874731392</v>
      </c>
    </row>
    <row r="30" spans="1:9" ht="12.75">
      <c r="A30" s="288" t="s">
        <v>263</v>
      </c>
      <c r="B30" s="275"/>
      <c r="C30" s="289" t="s">
        <v>288</v>
      </c>
      <c r="D30" s="288" t="s">
        <v>266</v>
      </c>
      <c r="E30" s="17">
        <f>'3.1. Efnah.'!Y$61</f>
        <v>3260226.247</v>
      </c>
      <c r="G30" s="278">
        <v>2435629</v>
      </c>
      <c r="H30" s="276"/>
      <c r="I30" s="287">
        <f t="shared" si="1"/>
        <v>0.33855617871194665</v>
      </c>
    </row>
    <row r="31" spans="1:9" ht="12.75">
      <c r="A31" s="288" t="s">
        <v>264</v>
      </c>
      <c r="B31" s="275"/>
      <c r="C31" s="276" t="s">
        <v>270</v>
      </c>
      <c r="D31" s="275" t="s">
        <v>266</v>
      </c>
      <c r="E31" s="17">
        <f>'3.1. Efnah.'!Z$61</f>
        <v>3063140.868</v>
      </c>
      <c r="G31" s="278">
        <v>2593783</v>
      </c>
      <c r="H31" s="276"/>
      <c r="I31" s="287">
        <f t="shared" si="1"/>
        <v>0.18095494804307055</v>
      </c>
    </row>
    <row r="32" spans="1:9" ht="12.75">
      <c r="A32" s="288" t="s">
        <v>267</v>
      </c>
      <c r="B32" s="275"/>
      <c r="C32" s="276" t="s">
        <v>276</v>
      </c>
      <c r="D32" s="275" t="s">
        <v>230</v>
      </c>
      <c r="E32" s="17">
        <f>'3.1. Efnah.'!AA$61</f>
        <v>2451774.517</v>
      </c>
      <c r="G32" s="278">
        <v>2204753</v>
      </c>
      <c r="H32" s="276"/>
      <c r="I32" s="287">
        <f t="shared" si="1"/>
        <v>0.11204044942902902</v>
      </c>
    </row>
    <row r="33" spans="1:9" ht="12.75">
      <c r="A33" s="288" t="s">
        <v>269</v>
      </c>
      <c r="B33" s="275"/>
      <c r="C33" s="276" t="s">
        <v>274</v>
      </c>
      <c r="D33" s="275"/>
      <c r="E33" s="17">
        <f>'3.1. Efnah.'!AB$61</f>
        <v>2367664.7989999996</v>
      </c>
      <c r="G33" s="278">
        <v>2076526</v>
      </c>
      <c r="H33" s="276"/>
      <c r="I33" s="287">
        <f t="shared" si="1"/>
        <v>0.1402047453294588</v>
      </c>
    </row>
    <row r="34" spans="1:9" ht="13.5" customHeight="1">
      <c r="A34" s="288" t="s">
        <v>271</v>
      </c>
      <c r="B34" s="275"/>
      <c r="C34" s="276" t="s">
        <v>272</v>
      </c>
      <c r="D34" s="275"/>
      <c r="E34" s="17">
        <f>'3.1. Efnah.'!AC$61</f>
        <v>2312577.994</v>
      </c>
      <c r="G34" s="278">
        <v>2102645</v>
      </c>
      <c r="H34" s="276"/>
      <c r="I34" s="287">
        <f t="shared" si="1"/>
        <v>0.09984233857831448</v>
      </c>
    </row>
    <row r="35" spans="1:9" ht="12.75">
      <c r="A35" s="288" t="s">
        <v>273</v>
      </c>
      <c r="B35" s="275"/>
      <c r="C35" s="276" t="s">
        <v>280</v>
      </c>
      <c r="D35" s="275" t="s">
        <v>281</v>
      </c>
      <c r="E35" s="17">
        <f>'3.1. Efnah.'!AD$61</f>
        <v>2150927.761</v>
      </c>
      <c r="G35" s="278">
        <v>2034216</v>
      </c>
      <c r="H35" s="276"/>
      <c r="I35" s="287">
        <f t="shared" si="1"/>
        <v>0.05737432062278547</v>
      </c>
    </row>
    <row r="36" spans="1:12" ht="12.75">
      <c r="A36" s="288" t="s">
        <v>275</v>
      </c>
      <c r="B36" s="275"/>
      <c r="C36" s="276" t="s">
        <v>285</v>
      </c>
      <c r="D36" s="275"/>
      <c r="E36" s="17">
        <f>'3.1. Efnah.'!AE$61</f>
        <v>2018092.5280000002</v>
      </c>
      <c r="G36" s="278">
        <v>1693728</v>
      </c>
      <c r="H36" s="276"/>
      <c r="I36" s="287">
        <f t="shared" si="1"/>
        <v>0.19150921989835457</v>
      </c>
      <c r="L36" s="278"/>
    </row>
    <row r="37" spans="1:9" ht="12.75">
      <c r="A37" s="288" t="s">
        <v>277</v>
      </c>
      <c r="B37" s="275"/>
      <c r="C37" s="276" t="s">
        <v>283</v>
      </c>
      <c r="D37" s="288" t="s">
        <v>230</v>
      </c>
      <c r="E37" s="17">
        <f>'3.1. Efnah.'!AF$61</f>
        <v>1926004.472</v>
      </c>
      <c r="G37" s="278">
        <v>1744626</v>
      </c>
      <c r="H37" s="276"/>
      <c r="I37" s="287">
        <f t="shared" si="1"/>
        <v>0.10396410004207213</v>
      </c>
    </row>
    <row r="38" spans="1:9" ht="12.75">
      <c r="A38" s="288" t="s">
        <v>279</v>
      </c>
      <c r="B38" s="275"/>
      <c r="C38" s="276" t="s">
        <v>324</v>
      </c>
      <c r="D38" s="275" t="s">
        <v>266</v>
      </c>
      <c r="E38" s="17">
        <f>'3.1. Efnah.'!AG$61</f>
        <v>1539296.903</v>
      </c>
      <c r="G38" s="278">
        <v>770100</v>
      </c>
      <c r="H38" s="276"/>
      <c r="I38" s="287">
        <f t="shared" si="1"/>
        <v>0.998827299052071</v>
      </c>
    </row>
    <row r="39" spans="1:12" ht="12.75">
      <c r="A39" s="288" t="s">
        <v>282</v>
      </c>
      <c r="B39" s="275"/>
      <c r="C39" s="276" t="s">
        <v>290</v>
      </c>
      <c r="D39" s="275"/>
      <c r="E39" s="17">
        <f>'3.1. Efnah.'!AH$61</f>
        <v>1538045.4790000003</v>
      </c>
      <c r="G39" s="278">
        <v>1405336</v>
      </c>
      <c r="H39" s="276"/>
      <c r="I39" s="287">
        <f t="shared" si="1"/>
        <v>0.09443256203498684</v>
      </c>
      <c r="L39" s="278"/>
    </row>
    <row r="40" spans="1:12" ht="12.75">
      <c r="A40" s="288" t="s">
        <v>284</v>
      </c>
      <c r="B40" s="275"/>
      <c r="C40" s="276" t="s">
        <v>293</v>
      </c>
      <c r="D40" s="275" t="s">
        <v>234</v>
      </c>
      <c r="E40" s="17">
        <f>'3.1. Efnah.'!AI$61</f>
        <v>1522875.973</v>
      </c>
      <c r="G40" s="278">
        <v>1356270</v>
      </c>
      <c r="H40" s="276"/>
      <c r="I40" s="287">
        <f t="shared" si="1"/>
        <v>0.12284130224807743</v>
      </c>
      <c r="L40" s="17"/>
    </row>
    <row r="41" spans="1:12" ht="12.75">
      <c r="A41" s="288" t="s">
        <v>286</v>
      </c>
      <c r="B41" s="275"/>
      <c r="C41" s="276" t="s">
        <v>296</v>
      </c>
      <c r="D41" s="275" t="s">
        <v>234</v>
      </c>
      <c r="E41" s="17">
        <f>'3.1. Efnah.'!AJ$61</f>
        <v>1267092.1720000003</v>
      </c>
      <c r="G41" s="278">
        <v>1126482</v>
      </c>
      <c r="H41" s="276"/>
      <c r="I41" s="287">
        <f t="shared" si="1"/>
        <v>0.1248223868645928</v>
      </c>
      <c r="L41" s="17"/>
    </row>
    <row r="42" spans="1:9" ht="12.75">
      <c r="A42" s="288" t="s">
        <v>287</v>
      </c>
      <c r="B42" s="275"/>
      <c r="C42" s="289" t="s">
        <v>298</v>
      </c>
      <c r="D42" s="275"/>
      <c r="E42" s="17">
        <f>'3.1. Efnah.'!AK$61</f>
        <v>1145154.233</v>
      </c>
      <c r="G42" s="278">
        <v>1004579</v>
      </c>
      <c r="H42" s="276"/>
      <c r="I42" s="287">
        <f t="shared" si="1"/>
        <v>0.1399344730479135</v>
      </c>
    </row>
    <row r="43" spans="1:9" ht="12.75">
      <c r="A43" s="288" t="s">
        <v>289</v>
      </c>
      <c r="B43" s="275"/>
      <c r="C43" s="276" t="s">
        <v>302</v>
      </c>
      <c r="D43" s="275"/>
      <c r="E43" s="17">
        <f>'3.1. Efnah.'!AL$61</f>
        <v>1116314.052</v>
      </c>
      <c r="G43" s="278">
        <v>986889</v>
      </c>
      <c r="H43" s="276"/>
      <c r="I43" s="287">
        <f t="shared" si="1"/>
        <v>0.13114448737396</v>
      </c>
    </row>
    <row r="44" spans="1:9" ht="12.75">
      <c r="A44" s="288" t="s">
        <v>291</v>
      </c>
      <c r="B44" s="275"/>
      <c r="C44" s="276" t="s">
        <v>304</v>
      </c>
      <c r="D44" s="275"/>
      <c r="E44" s="17">
        <f>'3.1. Efnah.'!AM$61</f>
        <v>994313.9930000002</v>
      </c>
      <c r="G44" s="278">
        <v>875109</v>
      </c>
      <c r="H44" s="276"/>
      <c r="I44" s="287">
        <f t="shared" si="1"/>
        <v>0.13621730892951645</v>
      </c>
    </row>
    <row r="45" spans="1:9" ht="12.75">
      <c r="A45" s="288" t="s">
        <v>292</v>
      </c>
      <c r="B45" s="275"/>
      <c r="C45" s="276" t="s">
        <v>306</v>
      </c>
      <c r="D45" s="275" t="s">
        <v>230</v>
      </c>
      <c r="E45" s="17">
        <f>'3.1. Efnah.'!AN$61</f>
        <v>974429.4800000001</v>
      </c>
      <c r="G45" s="278">
        <v>856629</v>
      </c>
      <c r="H45" s="276"/>
      <c r="I45" s="287">
        <f t="shared" si="1"/>
        <v>0.1375163343757917</v>
      </c>
    </row>
    <row r="46" spans="1:9" ht="12.75">
      <c r="A46" s="141" t="s">
        <v>294</v>
      </c>
      <c r="C46" s="140" t="s">
        <v>337</v>
      </c>
      <c r="D46" s="16" t="s">
        <v>266</v>
      </c>
      <c r="E46" s="17">
        <f>'3.1. Efnah.'!AO61</f>
        <v>932483.9750000001</v>
      </c>
      <c r="G46" s="17">
        <v>435747</v>
      </c>
      <c r="I46" s="21">
        <f t="shared" si="1"/>
        <v>1.139966482844403</v>
      </c>
    </row>
    <row r="49" spans="1:9" ht="12.75">
      <c r="A49" s="275"/>
      <c r="B49" s="275"/>
      <c r="C49" s="276"/>
      <c r="D49" s="275"/>
      <c r="G49" s="278"/>
      <c r="H49" s="276"/>
      <c r="I49" s="276"/>
    </row>
    <row r="59" ht="12.75">
      <c r="C59" s="19" t="s">
        <v>299</v>
      </c>
    </row>
    <row r="60" ht="12.75">
      <c r="C60" s="192" t="s">
        <v>300</v>
      </c>
    </row>
    <row r="61" ht="12.75">
      <c r="C61" s="192" t="s">
        <v>627</v>
      </c>
    </row>
    <row r="62" spans="5:9" ht="12.75">
      <c r="E62" s="309" t="s">
        <v>220</v>
      </c>
      <c r="F62" s="19"/>
      <c r="G62" s="309" t="s">
        <v>220</v>
      </c>
      <c r="H62" s="19"/>
      <c r="I62" s="282" t="s">
        <v>221</v>
      </c>
    </row>
    <row r="63" spans="1:9" ht="12.75">
      <c r="A63" s="18"/>
      <c r="B63" s="18"/>
      <c r="C63" s="18" t="s">
        <v>175</v>
      </c>
      <c r="E63" s="310" t="s">
        <v>550</v>
      </c>
      <c r="F63" s="19"/>
      <c r="G63" s="310" t="s">
        <v>222</v>
      </c>
      <c r="H63" s="19"/>
      <c r="I63" s="284" t="s">
        <v>552</v>
      </c>
    </row>
    <row r="64" spans="1:9" ht="12.75">
      <c r="A64" s="18"/>
      <c r="B64" s="18"/>
      <c r="E64" s="22" t="s">
        <v>223</v>
      </c>
      <c r="F64" s="20"/>
      <c r="G64" s="22" t="s">
        <v>223</v>
      </c>
      <c r="H64" s="20"/>
      <c r="I64" s="286" t="s">
        <v>224</v>
      </c>
    </row>
    <row r="65" spans="1:9" ht="9" customHeight="1">
      <c r="A65" s="18"/>
      <c r="B65" s="18"/>
      <c r="E65" s="22"/>
      <c r="F65" s="20"/>
      <c r="G65" s="22"/>
      <c r="H65" s="20"/>
      <c r="I65" s="20"/>
    </row>
    <row r="66" spans="1:9" ht="12.75">
      <c r="A66" s="288" t="s">
        <v>295</v>
      </c>
      <c r="B66" s="275"/>
      <c r="C66" s="289" t="s">
        <v>659</v>
      </c>
      <c r="D66" s="275" t="s">
        <v>230</v>
      </c>
      <c r="E66" s="17">
        <f>'3.1. Efnah.'!AP$61</f>
        <v>826099.983</v>
      </c>
      <c r="G66" s="278">
        <v>736150</v>
      </c>
      <c r="H66" s="276"/>
      <c r="I66" s="287">
        <f aca="true" t="shared" si="2" ref="I66:I81">(E66/G66)-1</f>
        <v>0.1221897480133125</v>
      </c>
    </row>
    <row r="67" spans="1:9" ht="12.75">
      <c r="A67" s="141" t="s">
        <v>297</v>
      </c>
      <c r="C67" s="18" t="s">
        <v>311</v>
      </c>
      <c r="D67" s="16" t="s">
        <v>266</v>
      </c>
      <c r="E67" s="17">
        <f>'3.1. Efnah.'!AQ$61</f>
        <v>789116.4659999999</v>
      </c>
      <c r="G67" s="17">
        <v>711935</v>
      </c>
      <c r="I67" s="21">
        <f t="shared" si="2"/>
        <v>0.10841083244959138</v>
      </c>
    </row>
    <row r="68" spans="1:9" ht="12.75">
      <c r="A68" s="141" t="s">
        <v>301</v>
      </c>
      <c r="C68" s="18" t="s">
        <v>309</v>
      </c>
      <c r="D68" s="16" t="s">
        <v>230</v>
      </c>
      <c r="E68" s="17">
        <f>'3.1. Efnah.'!AR$61</f>
        <v>777562.5880000001</v>
      </c>
      <c r="G68" s="17">
        <v>715248</v>
      </c>
      <c r="I68" s="21">
        <f t="shared" si="2"/>
        <v>0.08712305102565843</v>
      </c>
    </row>
    <row r="69" spans="1:9" ht="12.75">
      <c r="A69" s="141" t="s">
        <v>303</v>
      </c>
      <c r="C69" s="18" t="s">
        <v>313</v>
      </c>
      <c r="D69" s="16" t="s">
        <v>266</v>
      </c>
      <c r="E69" s="17">
        <f>'3.1. Efnah.'!AS61</f>
        <v>756335.21</v>
      </c>
      <c r="G69" s="17">
        <v>671893</v>
      </c>
      <c r="I69" s="21">
        <f t="shared" si="2"/>
        <v>0.12567806183425034</v>
      </c>
    </row>
    <row r="70" spans="1:9" ht="12.75">
      <c r="A70" s="141" t="s">
        <v>305</v>
      </c>
      <c r="C70" s="18" t="s">
        <v>315</v>
      </c>
      <c r="D70" s="16" t="s">
        <v>234</v>
      </c>
      <c r="E70" s="17">
        <f>'3.1. Efnah.'!AT$61</f>
        <v>745289.116</v>
      </c>
      <c r="G70" s="17">
        <v>670569</v>
      </c>
      <c r="I70" s="21">
        <f t="shared" si="2"/>
        <v>0.11142793060818512</v>
      </c>
    </row>
    <row r="71" spans="1:9" ht="12.75">
      <c r="A71" s="141" t="s">
        <v>307</v>
      </c>
      <c r="C71" s="140" t="s">
        <v>646</v>
      </c>
      <c r="D71" s="141"/>
      <c r="E71" s="17">
        <f>'3.1. Efnah.'!AU$61</f>
        <v>615911.397</v>
      </c>
      <c r="G71" s="17">
        <v>0</v>
      </c>
      <c r="I71" s="21"/>
    </row>
    <row r="72" spans="1:9" ht="12.75">
      <c r="A72" s="141" t="s">
        <v>308</v>
      </c>
      <c r="C72" s="18" t="s">
        <v>317</v>
      </c>
      <c r="D72" s="16" t="s">
        <v>318</v>
      </c>
      <c r="E72" s="17">
        <f>'3.1. Efnah.'!AV$61</f>
        <v>608859.4760000001</v>
      </c>
      <c r="G72" s="17">
        <v>594579</v>
      </c>
      <c r="I72" s="21">
        <f t="shared" si="2"/>
        <v>0.0240177941030546</v>
      </c>
    </row>
    <row r="73" spans="1:9" ht="12.75">
      <c r="A73" s="141" t="s">
        <v>310</v>
      </c>
      <c r="C73" s="18" t="s">
        <v>320</v>
      </c>
      <c r="D73" s="16" t="s">
        <v>230</v>
      </c>
      <c r="E73" s="17">
        <f>'3.1. Efnah.'!AW61</f>
        <v>607931.465</v>
      </c>
      <c r="G73" s="17">
        <v>562484</v>
      </c>
      <c r="I73" s="21">
        <f t="shared" si="2"/>
        <v>0.08079779158162714</v>
      </c>
    </row>
    <row r="74" spans="1:9" ht="12.75">
      <c r="A74" s="141" t="s">
        <v>312</v>
      </c>
      <c r="C74" s="18" t="s">
        <v>322</v>
      </c>
      <c r="E74" s="17">
        <f>'3.1. Efnah.'!AX61</f>
        <v>525982.1769999999</v>
      </c>
      <c r="G74" s="17">
        <v>513580</v>
      </c>
      <c r="I74" s="21">
        <f t="shared" si="2"/>
        <v>0.024148481249269604</v>
      </c>
    </row>
    <row r="75" spans="1:9" ht="12.75">
      <c r="A75" s="141" t="s">
        <v>314</v>
      </c>
      <c r="C75" s="140" t="s">
        <v>664</v>
      </c>
      <c r="D75" s="16" t="s">
        <v>318</v>
      </c>
      <c r="E75" s="17">
        <f>'3.1. Efnah.'!AY61</f>
        <v>428390.579</v>
      </c>
      <c r="G75" s="17">
        <v>419673</v>
      </c>
      <c r="I75" s="21">
        <f t="shared" si="2"/>
        <v>0.020772313205757786</v>
      </c>
    </row>
    <row r="76" spans="1:9" ht="12.75">
      <c r="A76" s="141" t="s">
        <v>316</v>
      </c>
      <c r="C76" s="18" t="s">
        <v>328</v>
      </c>
      <c r="D76" s="16" t="s">
        <v>318</v>
      </c>
      <c r="E76" s="17">
        <f>'3.1. Efnah.'!AZ61</f>
        <v>391064.473</v>
      </c>
      <c r="G76" s="17">
        <v>387957</v>
      </c>
      <c r="I76" s="21">
        <f t="shared" si="2"/>
        <v>0.008009838719239548</v>
      </c>
    </row>
    <row r="77" spans="1:9" ht="12.75">
      <c r="A77" s="141" t="s">
        <v>319</v>
      </c>
      <c r="C77" s="18" t="s">
        <v>331</v>
      </c>
      <c r="D77" s="16" t="s">
        <v>332</v>
      </c>
      <c r="E77" s="17">
        <f>'3.1. Efnah.'!BA61</f>
        <v>387061.19499999995</v>
      </c>
      <c r="G77" s="17">
        <v>358216</v>
      </c>
      <c r="I77" s="21">
        <f t="shared" si="2"/>
        <v>0.08052458572481402</v>
      </c>
    </row>
    <row r="78" spans="1:9" ht="12.75">
      <c r="A78" s="141" t="s">
        <v>321</v>
      </c>
      <c r="C78" s="140" t="s">
        <v>626</v>
      </c>
      <c r="D78" s="16" t="s">
        <v>230</v>
      </c>
      <c r="E78" s="17">
        <f>'3.1. Efnah.'!BB61</f>
        <v>347864.197</v>
      </c>
      <c r="G78" s="17">
        <v>318208</v>
      </c>
      <c r="I78" s="21">
        <f t="shared" si="2"/>
        <v>0.09319752174678197</v>
      </c>
    </row>
    <row r="79" spans="1:9" ht="12.75">
      <c r="A79" s="141" t="s">
        <v>323</v>
      </c>
      <c r="C79" s="140" t="s">
        <v>651</v>
      </c>
      <c r="E79" s="17">
        <f>'3.1. Efnah.'!BC61</f>
        <v>308436.248</v>
      </c>
      <c r="G79" s="17">
        <v>273730</v>
      </c>
      <c r="I79" s="21">
        <f t="shared" si="2"/>
        <v>0.1267900778139044</v>
      </c>
    </row>
    <row r="80" spans="1:9" ht="12.75">
      <c r="A80" s="141" t="s">
        <v>325</v>
      </c>
      <c r="C80" s="18" t="s">
        <v>339</v>
      </c>
      <c r="D80" s="16" t="s">
        <v>230</v>
      </c>
      <c r="E80" s="17">
        <f>'3.1. Efnah.'!BD61</f>
        <v>232462.082</v>
      </c>
      <c r="G80" s="17">
        <v>214086</v>
      </c>
      <c r="I80" s="21">
        <f t="shared" si="2"/>
        <v>0.08583504759769434</v>
      </c>
    </row>
    <row r="81" spans="1:9" ht="12" customHeight="1">
      <c r="A81" s="141" t="s">
        <v>326</v>
      </c>
      <c r="C81" s="18" t="s">
        <v>342</v>
      </c>
      <c r="D81" s="141" t="s">
        <v>281</v>
      </c>
      <c r="E81" s="17">
        <f>'3.1. Efnah.'!BE$61</f>
        <v>181586.855</v>
      </c>
      <c r="G81" s="17">
        <v>172451</v>
      </c>
      <c r="I81" s="21">
        <f t="shared" si="2"/>
        <v>0.05297652666554553</v>
      </c>
    </row>
    <row r="82" spans="1:9" ht="12.75">
      <c r="A82" s="141" t="s">
        <v>327</v>
      </c>
      <c r="C82" s="18" t="s">
        <v>341</v>
      </c>
      <c r="D82" s="16" t="s">
        <v>318</v>
      </c>
      <c r="E82" s="17">
        <f>'3.1. Efnah.'!BF$61</f>
        <v>165755.93</v>
      </c>
      <c r="G82" s="17">
        <v>169246</v>
      </c>
      <c r="I82" s="21">
        <f>(E82/G82)-1</f>
        <v>-0.020621284993441513</v>
      </c>
    </row>
    <row r="83" spans="1:9" ht="12.75">
      <c r="A83" s="141" t="s">
        <v>329</v>
      </c>
      <c r="C83" s="140" t="s">
        <v>587</v>
      </c>
      <c r="D83" s="141" t="s">
        <v>266</v>
      </c>
      <c r="E83" s="17">
        <f>'3.1. Efnah.'!BG$61</f>
        <v>151708.424</v>
      </c>
      <c r="G83" s="17">
        <v>0</v>
      </c>
      <c r="I83" s="21"/>
    </row>
    <row r="84" spans="1:9" ht="12.75">
      <c r="A84" s="141" t="s">
        <v>330</v>
      </c>
      <c r="C84" s="18" t="s">
        <v>343</v>
      </c>
      <c r="D84" s="16" t="s">
        <v>230</v>
      </c>
      <c r="E84" s="17">
        <f>'3.1. Efnah.'!BH$61</f>
        <v>149601.198</v>
      </c>
      <c r="G84" s="17">
        <v>142867</v>
      </c>
      <c r="I84" s="21">
        <f aca="true" t="shared" si="3" ref="I84:I89">(E84/G84)-1</f>
        <v>0.04713613360678126</v>
      </c>
    </row>
    <row r="85" spans="1:9" ht="12.75">
      <c r="A85" s="141" t="s">
        <v>333</v>
      </c>
      <c r="C85" s="18" t="s">
        <v>344</v>
      </c>
      <c r="D85" s="16" t="s">
        <v>266</v>
      </c>
      <c r="E85" s="17">
        <f>'3.1. Efnah.'!BI$61</f>
        <v>118678.984</v>
      </c>
      <c r="G85" s="17">
        <v>110979.729</v>
      </c>
      <c r="I85" s="21">
        <f t="shared" si="3"/>
        <v>0.0693753270923918</v>
      </c>
    </row>
    <row r="86" spans="1:9" ht="12.75">
      <c r="A86" s="141" t="s">
        <v>334</v>
      </c>
      <c r="C86" s="18" t="s">
        <v>345</v>
      </c>
      <c r="D86" s="16" t="s">
        <v>266</v>
      </c>
      <c r="E86" s="17">
        <f>'3.1. Efnah.'!BJ$61</f>
        <v>108384.021</v>
      </c>
      <c r="G86" s="17">
        <v>108419.454</v>
      </c>
      <c r="I86" s="21">
        <f t="shared" si="3"/>
        <v>-0.00032681404206302833</v>
      </c>
    </row>
    <row r="87" spans="1:9" ht="12.75">
      <c r="A87" s="141" t="s">
        <v>335</v>
      </c>
      <c r="C87" s="140" t="s">
        <v>346</v>
      </c>
      <c r="D87" s="16" t="s">
        <v>230</v>
      </c>
      <c r="E87" s="17">
        <f>'3.1. Efnah.'!BK$61</f>
        <v>98072.448</v>
      </c>
      <c r="G87" s="17">
        <v>97474</v>
      </c>
      <c r="I87" s="21">
        <f t="shared" si="3"/>
        <v>0.006139565422574211</v>
      </c>
    </row>
    <row r="88" spans="1:9" ht="12.75">
      <c r="A88" s="141" t="s">
        <v>336</v>
      </c>
      <c r="C88" s="18" t="s">
        <v>347</v>
      </c>
      <c r="D88" s="16" t="s">
        <v>281</v>
      </c>
      <c r="E88" s="17">
        <f>'3.1. Efnah.'!BL$61</f>
        <v>35818</v>
      </c>
      <c r="G88" s="17">
        <v>34260</v>
      </c>
      <c r="I88" s="21">
        <f t="shared" si="3"/>
        <v>0.04547577349678922</v>
      </c>
    </row>
    <row r="89" spans="1:9" ht="12.75">
      <c r="A89" s="141" t="s">
        <v>338</v>
      </c>
      <c r="C89" s="18" t="s">
        <v>348</v>
      </c>
      <c r="D89" s="16" t="s">
        <v>318</v>
      </c>
      <c r="E89" s="17">
        <f>'3.1. Efnah.'!BM$61</f>
        <v>11210.747</v>
      </c>
      <c r="G89" s="17">
        <v>11396</v>
      </c>
      <c r="I89" s="21">
        <f t="shared" si="3"/>
        <v>-0.016255967005967098</v>
      </c>
    </row>
    <row r="90" spans="1:9" ht="12.75">
      <c r="A90" s="141" t="s">
        <v>340</v>
      </c>
      <c r="C90" s="18" t="s">
        <v>349</v>
      </c>
      <c r="D90" s="16" t="s">
        <v>230</v>
      </c>
      <c r="E90" s="17">
        <f>'3.1. Efnah.'!BN$61</f>
        <v>0</v>
      </c>
      <c r="G90" s="17">
        <v>0</v>
      </c>
      <c r="I90" s="21"/>
    </row>
    <row r="91" spans="1:9" ht="12.75">
      <c r="A91" s="140" t="s">
        <v>645</v>
      </c>
      <c r="C91" s="18" t="s">
        <v>350</v>
      </c>
      <c r="D91" s="16" t="s">
        <v>230</v>
      </c>
      <c r="E91" s="23">
        <f>'3.1. Efnah.'!BO$61</f>
        <v>0</v>
      </c>
      <c r="G91" s="23">
        <v>0</v>
      </c>
      <c r="I91" s="318"/>
    </row>
    <row r="92" spans="1:9" ht="15.75" customHeight="1">
      <c r="A92" s="18"/>
      <c r="C92" s="24" t="s">
        <v>351</v>
      </c>
      <c r="E92" s="17">
        <f>SUM(E7:E91)</f>
        <v>352690134.1759999</v>
      </c>
      <c r="G92" s="17">
        <f>SUM(G7:G91)</f>
        <v>307071151.18299997</v>
      </c>
      <c r="I92" s="21">
        <f>(E92/G92)-1</f>
        <v>0.1485616047526821</v>
      </c>
    </row>
    <row r="94" spans="1:9" ht="12.75" customHeight="1">
      <c r="A94" s="141"/>
      <c r="C94" s="24"/>
      <c r="I94" s="21"/>
    </row>
    <row r="95" spans="3:9" ht="12.75" customHeight="1">
      <c r="C95" s="24"/>
      <c r="I95" s="21"/>
    </row>
    <row r="96" spans="3:9" ht="12.75" customHeight="1">
      <c r="C96" s="24"/>
      <c r="I96" s="21"/>
    </row>
    <row r="97" spans="3:9" ht="12.75" customHeight="1">
      <c r="C97" s="24"/>
      <c r="I97" s="21"/>
    </row>
    <row r="98" spans="3:9" ht="12.75" customHeight="1">
      <c r="C98" s="24"/>
      <c r="I98" s="21"/>
    </row>
    <row r="99" spans="3:9" ht="12.75" customHeight="1">
      <c r="C99" s="24"/>
      <c r="I99" s="21"/>
    </row>
    <row r="100" spans="3:9" ht="12.75" customHeight="1">
      <c r="C100" s="24"/>
      <c r="I100" s="21"/>
    </row>
    <row r="101" spans="3:9" ht="12.75" customHeight="1">
      <c r="C101" s="24"/>
      <c r="I101" s="21"/>
    </row>
    <row r="102" spans="3:9" ht="12.75" customHeight="1">
      <c r="C102" s="24"/>
      <c r="I102" s="21"/>
    </row>
    <row r="103" spans="3:9" ht="12.75" customHeight="1">
      <c r="C103" s="24"/>
      <c r="I103" s="21"/>
    </row>
    <row r="104" spans="3:9" ht="12.75" customHeight="1">
      <c r="C104" s="24"/>
      <c r="I104" s="21"/>
    </row>
    <row r="105" spans="3:9" ht="12.75" customHeight="1">
      <c r="C105" s="24"/>
      <c r="I105" s="21"/>
    </row>
    <row r="106" spans="3:9" ht="12.75" customHeight="1">
      <c r="C106" s="24"/>
      <c r="I106" s="21"/>
    </row>
    <row r="107" spans="3:9" ht="12.75" customHeight="1">
      <c r="C107" s="24"/>
      <c r="I107" s="21"/>
    </row>
    <row r="108" spans="3:9" ht="12.75" customHeight="1">
      <c r="C108" s="24"/>
      <c r="I108" s="21"/>
    </row>
    <row r="109" spans="3:9" ht="12.75" customHeight="1">
      <c r="C109" s="24"/>
      <c r="I109" s="21"/>
    </row>
    <row r="110" spans="3:9" ht="12.75" customHeight="1">
      <c r="C110" s="24"/>
      <c r="I110" s="21"/>
    </row>
    <row r="111" spans="3:9" ht="12.75" customHeight="1">
      <c r="C111" s="24"/>
      <c r="I111" s="21"/>
    </row>
    <row r="112" spans="3:9" ht="12.75" customHeight="1">
      <c r="C112" s="24"/>
      <c r="I112" s="21"/>
    </row>
    <row r="113" spans="3:9" ht="12.75" customHeight="1">
      <c r="C113" s="24"/>
      <c r="I113" s="21"/>
    </row>
    <row r="114" spans="3:9" ht="12.75" customHeight="1">
      <c r="C114" s="24"/>
      <c r="I114" s="21"/>
    </row>
    <row r="115" spans="3:9" ht="12.75" customHeight="1">
      <c r="C115" s="24"/>
      <c r="I115" s="21"/>
    </row>
    <row r="116" spans="3:9" ht="12.75" customHeight="1">
      <c r="C116" s="24"/>
      <c r="I116" s="21"/>
    </row>
    <row r="117" spans="3:9" ht="12.75" customHeight="1">
      <c r="C117" s="24"/>
      <c r="I117" s="21"/>
    </row>
    <row r="118" spans="3:9" ht="12.75" customHeight="1">
      <c r="C118" s="24"/>
      <c r="I118" s="21"/>
    </row>
    <row r="119" spans="3:9" ht="12.75" customHeight="1">
      <c r="C119" s="19" t="s">
        <v>299</v>
      </c>
      <c r="I119" s="21"/>
    </row>
    <row r="120" spans="3:9" ht="12.75" customHeight="1">
      <c r="C120" s="192" t="s">
        <v>641</v>
      </c>
      <c r="I120" s="21"/>
    </row>
    <row r="121" spans="3:9" ht="12.75" customHeight="1">
      <c r="C121" s="192" t="s">
        <v>640</v>
      </c>
      <c r="I121" s="21"/>
    </row>
    <row r="122" spans="3:9" ht="12.75" customHeight="1">
      <c r="C122" s="24"/>
      <c r="I122" s="21"/>
    </row>
    <row r="123" ht="12.75">
      <c r="C123"/>
    </row>
    <row r="124" ht="12.75">
      <c r="C124"/>
    </row>
    <row r="125" ht="12.75">
      <c r="C125"/>
    </row>
    <row r="129" ht="12.75">
      <c r="C129" s="18" t="s">
        <v>175</v>
      </c>
    </row>
  </sheetData>
  <sheetProtection/>
  <printOptions/>
  <pageMargins left="0.5905511811023623" right="0" top="0.5905511811023623" bottom="0.5905511811023623" header="0.5905511811023623" footer="0.5905511811023623"/>
  <pageSetup firstPageNumber="78" useFirstPageNumber="1" orientation="portrait" paperSize="9" scale="85" r:id="rId1"/>
  <headerFooter alignWithMargins="0">
    <oddFooter>&amp;C&amp;"Times New Roman,Regular"&amp;P</oddFooter>
  </headerFooter>
  <rowBreaks count="1" manualBreakCount="1">
    <brk id="6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74"/>
  <sheetViews>
    <sheetView zoomScalePageLayoutView="0" workbookViewId="0" topLeftCell="A1">
      <selection activeCell="A1" sqref="A1:Z59"/>
    </sheetView>
  </sheetViews>
  <sheetFormatPr defaultColWidth="9.00390625" defaultRowHeight="12.75"/>
  <cols>
    <col min="1" max="1" width="3.00390625" style="28" customWidth="1"/>
    <col min="2" max="2" width="19.625" style="28" customWidth="1"/>
    <col min="3" max="3" width="4.375" style="28" customWidth="1"/>
    <col min="4" max="4" width="6.875" style="28" customWidth="1"/>
    <col min="5" max="5" width="1.625" style="28" customWidth="1"/>
    <col min="6" max="6" width="7.125" style="29" customWidth="1"/>
    <col min="7" max="7" width="6.875" style="29" customWidth="1"/>
    <col min="8" max="8" width="6.875" style="28" customWidth="1"/>
    <col min="9" max="9" width="6.875" style="29" customWidth="1"/>
    <col min="10" max="10" width="7.125" style="30" customWidth="1"/>
    <col min="11" max="11" width="1.625" style="30" customWidth="1"/>
    <col min="12" max="13" width="6.875" style="29" customWidth="1"/>
    <col min="14" max="14" width="6.875" style="30" customWidth="1"/>
    <col min="15" max="15" width="1.625" style="30" customWidth="1"/>
    <col min="16" max="17" width="6.875" style="28" customWidth="1"/>
    <col min="18" max="18" width="1.625" style="28" customWidth="1"/>
    <col min="19" max="20" width="6.875" style="28" customWidth="1"/>
    <col min="21" max="21" width="1.625" style="28" customWidth="1"/>
    <col min="22" max="22" width="5.375" style="28" customWidth="1"/>
    <col min="23" max="23" width="6.625" style="28" customWidth="1"/>
    <col min="24" max="24" width="7.875" style="28" customWidth="1"/>
    <col min="25" max="26" width="7.125" style="28" customWidth="1"/>
    <col min="27" max="16384" width="9.00390625" style="28" customWidth="1"/>
  </cols>
  <sheetData>
    <row r="1" spans="3:15" s="25" customFormat="1" ht="12.75">
      <c r="C1" s="162"/>
      <c r="D1" s="163"/>
      <c r="E1" s="163"/>
      <c r="H1"/>
      <c r="I1" s="26"/>
      <c r="J1" s="164"/>
      <c r="K1" s="164"/>
      <c r="L1" s="26"/>
      <c r="M1" s="26"/>
      <c r="N1" s="27"/>
      <c r="O1" s="27"/>
    </row>
    <row r="2" spans="1:22" s="165" customFormat="1" ht="15.75">
      <c r="A2" s="166" t="s">
        <v>352</v>
      </c>
      <c r="B2" s="167"/>
      <c r="C2" s="167"/>
      <c r="D2" s="167"/>
      <c r="E2" s="167"/>
      <c r="F2" s="167"/>
      <c r="G2" s="167"/>
      <c r="H2" s="168"/>
      <c r="I2" s="169"/>
      <c r="J2" s="170"/>
      <c r="K2" s="170"/>
      <c r="L2" s="171"/>
      <c r="M2" s="171"/>
      <c r="N2" s="170"/>
      <c r="O2" s="170"/>
      <c r="P2" s="167"/>
      <c r="Q2" s="167"/>
      <c r="R2" s="167"/>
      <c r="S2" s="167"/>
      <c r="T2" s="167"/>
      <c r="U2" s="167"/>
      <c r="V2" s="167"/>
    </row>
    <row r="3" spans="1:22" s="165" customFormat="1" ht="15.75">
      <c r="A3" s="166" t="s">
        <v>353</v>
      </c>
      <c r="B3" s="167"/>
      <c r="C3" s="167"/>
      <c r="D3" s="167"/>
      <c r="E3" s="167"/>
      <c r="F3" s="167"/>
      <c r="G3" s="167"/>
      <c r="H3" s="168"/>
      <c r="I3" s="169"/>
      <c r="J3" s="170"/>
      <c r="K3" s="170"/>
      <c r="L3" s="171"/>
      <c r="M3" s="171"/>
      <c r="N3" s="170"/>
      <c r="O3" s="170"/>
      <c r="P3" s="167"/>
      <c r="Q3" s="167"/>
      <c r="R3" s="167"/>
      <c r="S3" s="167"/>
      <c r="T3" s="167"/>
      <c r="U3" s="167"/>
      <c r="V3" s="167"/>
    </row>
    <row r="4" spans="1:22" s="165" customFormat="1" ht="15.75">
      <c r="A4" s="166"/>
      <c r="B4" s="167"/>
      <c r="C4" s="167"/>
      <c r="D4" s="167"/>
      <c r="E4" s="167"/>
      <c r="F4" s="167"/>
      <c r="G4" s="167"/>
      <c r="H4" s="168"/>
      <c r="I4" s="169"/>
      <c r="J4" s="170"/>
      <c r="K4" s="170"/>
      <c r="L4" s="171"/>
      <c r="M4" s="171"/>
      <c r="N4" s="170"/>
      <c r="O4" s="170"/>
      <c r="P4" s="167"/>
      <c r="Q4" s="167"/>
      <c r="R4" s="167"/>
      <c r="S4" s="167"/>
      <c r="T4" s="167"/>
      <c r="U4" s="167"/>
      <c r="V4" s="167"/>
    </row>
    <row r="5" spans="6:21" ht="12.75" customHeight="1">
      <c r="F5" s="204" t="s">
        <v>354</v>
      </c>
      <c r="G5" s="198"/>
      <c r="H5" s="198"/>
      <c r="I5" s="198"/>
      <c r="J5" s="199"/>
      <c r="K5" s="48"/>
      <c r="L5" s="200" t="s">
        <v>355</v>
      </c>
      <c r="M5" s="201"/>
      <c r="N5" s="199"/>
      <c r="O5" s="48"/>
      <c r="P5" s="202" t="s">
        <v>356</v>
      </c>
      <c r="Q5" s="203"/>
      <c r="R5" s="203"/>
      <c r="S5" s="203"/>
      <c r="T5" s="203"/>
      <c r="U5" s="59"/>
    </row>
    <row r="6" spans="2:25" ht="12.75">
      <c r="B6" s="31" t="s">
        <v>357</v>
      </c>
      <c r="D6" s="32" t="s">
        <v>358</v>
      </c>
      <c r="E6" s="32"/>
      <c r="F6" s="33" t="s">
        <v>358</v>
      </c>
      <c r="G6" s="62" t="s">
        <v>358</v>
      </c>
      <c r="H6" s="62" t="s">
        <v>359</v>
      </c>
      <c r="I6" s="62" t="s">
        <v>360</v>
      </c>
      <c r="J6" s="147" t="s">
        <v>361</v>
      </c>
      <c r="K6" s="34"/>
      <c r="L6" s="33" t="s">
        <v>362</v>
      </c>
      <c r="M6" s="66" t="s">
        <v>360</v>
      </c>
      <c r="N6" s="147" t="s">
        <v>361</v>
      </c>
      <c r="O6" s="34"/>
      <c r="P6" s="62" t="s">
        <v>360</v>
      </c>
      <c r="Q6" s="147" t="s">
        <v>361</v>
      </c>
      <c r="R6" s="147"/>
      <c r="S6" s="66" t="s">
        <v>360</v>
      </c>
      <c r="T6" s="147" t="s">
        <v>361</v>
      </c>
      <c r="U6" s="63"/>
      <c r="V6" s="32" t="s">
        <v>363</v>
      </c>
      <c r="W6"/>
      <c r="Y6" s="32" t="s">
        <v>364</v>
      </c>
    </row>
    <row r="7" spans="2:26" ht="12.75">
      <c r="B7" s="206" t="s">
        <v>365</v>
      </c>
      <c r="D7" s="32" t="s">
        <v>366</v>
      </c>
      <c r="E7" s="32"/>
      <c r="F7" s="33" t="s">
        <v>367</v>
      </c>
      <c r="G7" s="65" t="s">
        <v>368</v>
      </c>
      <c r="H7" s="62" t="s">
        <v>369</v>
      </c>
      <c r="I7" s="62" t="s">
        <v>370</v>
      </c>
      <c r="J7" s="34" t="s">
        <v>370</v>
      </c>
      <c r="K7" s="34"/>
      <c r="L7" s="33" t="s">
        <v>369</v>
      </c>
      <c r="M7" s="62" t="s">
        <v>371</v>
      </c>
      <c r="N7" s="34" t="s">
        <v>372</v>
      </c>
      <c r="O7" s="34"/>
      <c r="P7" s="62" t="s">
        <v>370</v>
      </c>
      <c r="Q7" s="34" t="s">
        <v>370</v>
      </c>
      <c r="R7" s="34"/>
      <c r="S7" s="62" t="s">
        <v>371</v>
      </c>
      <c r="T7" s="34" t="s">
        <v>372</v>
      </c>
      <c r="U7" s="63"/>
      <c r="V7" s="32" t="s">
        <v>373</v>
      </c>
      <c r="W7"/>
      <c r="Y7" s="32" t="s">
        <v>374</v>
      </c>
      <c r="Z7" s="51" t="s">
        <v>375</v>
      </c>
    </row>
    <row r="8" spans="2:26" ht="12.75">
      <c r="B8"/>
      <c r="D8" s="32">
        <v>1997</v>
      </c>
      <c r="E8" s="32"/>
      <c r="F8" s="33" t="s">
        <v>376</v>
      </c>
      <c r="G8" s="62" t="s">
        <v>377</v>
      </c>
      <c r="H8" s="62" t="s">
        <v>378</v>
      </c>
      <c r="I8" s="62" t="s">
        <v>379</v>
      </c>
      <c r="J8" s="34" t="s">
        <v>379</v>
      </c>
      <c r="K8" s="149"/>
      <c r="L8" s="33" t="s">
        <v>378</v>
      </c>
      <c r="M8" s="62" t="s">
        <v>379</v>
      </c>
      <c r="N8" s="34" t="s">
        <v>379</v>
      </c>
      <c r="O8" s="34"/>
      <c r="P8" s="62" t="s">
        <v>379</v>
      </c>
      <c r="Q8" s="34" t="s">
        <v>379</v>
      </c>
      <c r="R8" s="148"/>
      <c r="S8" s="62" t="s">
        <v>379</v>
      </c>
      <c r="T8" s="34" t="s">
        <v>379</v>
      </c>
      <c r="U8" s="63"/>
      <c r="V8" s="32" t="s">
        <v>380</v>
      </c>
      <c r="W8" s="32" t="s">
        <v>381</v>
      </c>
      <c r="X8" s="52" t="s">
        <v>375</v>
      </c>
      <c r="Y8" s="32" t="s">
        <v>382</v>
      </c>
      <c r="Z8" s="51" t="s">
        <v>383</v>
      </c>
    </row>
    <row r="9" spans="1:26" ht="12.75">
      <c r="A9" s="35" t="s">
        <v>384</v>
      </c>
      <c r="B9"/>
      <c r="C9" s="331" t="s">
        <v>385</v>
      </c>
      <c r="D9" s="36" t="s">
        <v>386</v>
      </c>
      <c r="E9" s="36"/>
      <c r="F9" s="37" t="s">
        <v>386</v>
      </c>
      <c r="G9" s="67" t="s">
        <v>386</v>
      </c>
      <c r="H9" s="67" t="s">
        <v>386</v>
      </c>
      <c r="I9" s="67" t="s">
        <v>386</v>
      </c>
      <c r="J9" s="38" t="s">
        <v>224</v>
      </c>
      <c r="K9" s="38"/>
      <c r="L9" s="37" t="s">
        <v>386</v>
      </c>
      <c r="M9" s="67" t="s">
        <v>386</v>
      </c>
      <c r="N9" s="38" t="s">
        <v>224</v>
      </c>
      <c r="O9" s="38"/>
      <c r="P9" s="67" t="s">
        <v>386</v>
      </c>
      <c r="Q9" s="38" t="s">
        <v>224</v>
      </c>
      <c r="R9" s="38"/>
      <c r="S9" s="67" t="s">
        <v>386</v>
      </c>
      <c r="T9" s="68" t="s">
        <v>224</v>
      </c>
      <c r="U9" s="68"/>
      <c r="V9" s="32" t="s">
        <v>387</v>
      </c>
      <c r="W9" s="32" t="s">
        <v>377</v>
      </c>
      <c r="X9" s="52" t="s">
        <v>383</v>
      </c>
      <c r="Y9" s="32" t="s">
        <v>379</v>
      </c>
      <c r="Z9" s="51" t="s">
        <v>388</v>
      </c>
    </row>
    <row r="10" spans="2:26" ht="12.75" customHeight="1">
      <c r="B10" s="35" t="s">
        <v>389</v>
      </c>
      <c r="D10" s="39" t="s">
        <v>390</v>
      </c>
      <c r="E10" s="39"/>
      <c r="F10" s="40" t="s">
        <v>111</v>
      </c>
      <c r="G10" s="193" t="s">
        <v>112</v>
      </c>
      <c r="H10" s="193" t="s">
        <v>113</v>
      </c>
      <c r="I10" s="193" t="s">
        <v>114</v>
      </c>
      <c r="J10" s="150" t="s">
        <v>115</v>
      </c>
      <c r="K10" s="150"/>
      <c r="L10" s="151" t="s">
        <v>116</v>
      </c>
      <c r="M10" s="154" t="s">
        <v>117</v>
      </c>
      <c r="N10" s="150" t="s">
        <v>391</v>
      </c>
      <c r="O10" s="150"/>
      <c r="P10" s="155" t="s">
        <v>392</v>
      </c>
      <c r="Q10" s="155" t="s">
        <v>393</v>
      </c>
      <c r="R10" s="59"/>
      <c r="S10" s="155" t="s">
        <v>119</v>
      </c>
      <c r="T10" s="155" t="s">
        <v>120</v>
      </c>
      <c r="U10" s="155"/>
      <c r="V10" s="152" t="s">
        <v>121</v>
      </c>
      <c r="W10" s="152" t="s">
        <v>122</v>
      </c>
      <c r="X10" s="152" t="s">
        <v>123</v>
      </c>
      <c r="Y10" s="152" t="s">
        <v>124</v>
      </c>
      <c r="Z10" s="152" t="s">
        <v>125</v>
      </c>
    </row>
    <row r="11" spans="2:25" ht="12.75" customHeight="1">
      <c r="B11" s="181" t="s">
        <v>175</v>
      </c>
      <c r="C11" s="43" t="s">
        <v>175</v>
      </c>
      <c r="D11" s="39"/>
      <c r="E11" s="39"/>
      <c r="F11" s="40"/>
      <c r="G11" s="37" t="s">
        <v>175</v>
      </c>
      <c r="H11" s="39"/>
      <c r="I11" s="40"/>
      <c r="J11" s="42"/>
      <c r="K11" s="42"/>
      <c r="L11" s="40"/>
      <c r="M11" s="69"/>
      <c r="N11" s="41"/>
      <c r="O11" s="41"/>
      <c r="P11" s="39"/>
      <c r="Q11" s="39"/>
      <c r="V11" s="39"/>
      <c r="Y11" s="143" t="s">
        <v>175</v>
      </c>
    </row>
    <row r="12" spans="1:26" ht="12.75" customHeight="1">
      <c r="A12" s="142" t="s">
        <v>227</v>
      </c>
      <c r="B12" s="143" t="s">
        <v>653</v>
      </c>
      <c r="C12" s="43" t="s">
        <v>230</v>
      </c>
      <c r="D12" s="44">
        <f>'3.1. Efnah.'!C61/1000</f>
        <v>33665.68066599999</v>
      </c>
      <c r="E12" s="44"/>
      <c r="F12" s="29">
        <v>100269</v>
      </c>
      <c r="G12" s="29">
        <f aca="true" t="shared" si="0" ref="G12:G29">SUM(F12)+W12</f>
        <v>123953</v>
      </c>
      <c r="H12" s="44">
        <v>190090</v>
      </c>
      <c r="I12" s="29">
        <f>SUM(G12-H12)</f>
        <v>-66137</v>
      </c>
      <c r="J12" s="30">
        <f>I12/H12</f>
        <v>-0.34792466726287546</v>
      </c>
      <c r="L12" s="29">
        <v>140690</v>
      </c>
      <c r="M12" s="29">
        <f aca="true" t="shared" si="1" ref="M12:M25">F12-L12</f>
        <v>-40421</v>
      </c>
      <c r="N12" s="30">
        <f>M12/L12</f>
        <v>-0.2873054232710214</v>
      </c>
      <c r="P12" s="29">
        <f>SUM(I12+X12)</f>
        <v>-62126</v>
      </c>
      <c r="Q12" s="30">
        <f>SUM(P12/H12)</f>
        <v>-0.32682413593560944</v>
      </c>
      <c r="S12" s="29">
        <f>SUM(M12+X12)</f>
        <v>-36410</v>
      </c>
      <c r="T12" s="30">
        <f>SUM(S12/L12)</f>
        <v>-0.25879593432369036</v>
      </c>
      <c r="V12" s="28">
        <v>1997</v>
      </c>
      <c r="W12" s="28">
        <v>23684</v>
      </c>
      <c r="X12" s="28">
        <v>4011</v>
      </c>
      <c r="Y12" s="195">
        <f>SUM(W12/H12)</f>
        <v>0.12459361355147562</v>
      </c>
      <c r="Z12" s="195">
        <f>SUM(X12/F12)</f>
        <v>0.04000239356132005</v>
      </c>
    </row>
    <row r="13" spans="1:26" ht="12.75" customHeight="1">
      <c r="A13" s="142" t="s">
        <v>260</v>
      </c>
      <c r="B13" s="143" t="s">
        <v>468</v>
      </c>
      <c r="C13" s="43" t="s">
        <v>394</v>
      </c>
      <c r="D13" s="44">
        <f>'3.1. Efnah.'!V61/1000</f>
        <v>4281.023991999999</v>
      </c>
      <c r="E13" s="44"/>
      <c r="F13" s="29">
        <v>12193</v>
      </c>
      <c r="G13" s="29">
        <f t="shared" si="0"/>
        <v>14405</v>
      </c>
      <c r="H13" s="44">
        <v>21404</v>
      </c>
      <c r="I13" s="29">
        <f aca="true" t="shared" si="2" ref="I13:I23">SUM(G13-H13)</f>
        <v>-6999</v>
      </c>
      <c r="J13" s="30">
        <f aca="true" t="shared" si="3" ref="J13:J23">I13/H13</f>
        <v>-0.3269949542141656</v>
      </c>
      <c r="L13" s="29">
        <v>15698</v>
      </c>
      <c r="M13" s="29">
        <f t="shared" si="1"/>
        <v>-3505</v>
      </c>
      <c r="N13" s="30">
        <f aca="true" t="shared" si="4" ref="N13:N25">M13/L13</f>
        <v>-0.22327685055421073</v>
      </c>
      <c r="P13" s="29">
        <f>SUM(I13+X13)</f>
        <v>-6568</v>
      </c>
      <c r="Q13" s="30">
        <f>SUM(P13/H13)</f>
        <v>-0.3068585311156793</v>
      </c>
      <c r="S13" s="29">
        <f>SUM(M13+X13)</f>
        <v>-3074</v>
      </c>
      <c r="T13" s="30">
        <f>SUM(S13/L13)</f>
        <v>-0.19582112371002675</v>
      </c>
      <c r="V13" s="28">
        <v>1997</v>
      </c>
      <c r="W13" s="28">
        <v>2212</v>
      </c>
      <c r="X13" s="28">
        <v>431</v>
      </c>
      <c r="Y13" s="195">
        <f aca="true" t="shared" si="5" ref="Y13:Y23">SUM(W13/H13)</f>
        <v>0.10334516912726593</v>
      </c>
      <c r="Z13" s="195">
        <f aca="true" t="shared" si="6" ref="Z13:Z23">SUM(X13/F13)</f>
        <v>0.03534815057820061</v>
      </c>
    </row>
    <row r="14" spans="1:26" ht="12.75">
      <c r="A14" s="142" t="s">
        <v>267</v>
      </c>
      <c r="B14" s="28" t="s">
        <v>395</v>
      </c>
      <c r="C14" s="43"/>
      <c r="D14" s="44">
        <f>'3.1. Efnah.'!AA61/1000</f>
        <v>2451.774517</v>
      </c>
      <c r="E14" s="44"/>
      <c r="F14" s="29">
        <v>2452</v>
      </c>
      <c r="G14" s="29">
        <f t="shared" si="0"/>
        <v>4896</v>
      </c>
      <c r="H14" s="44">
        <v>23558</v>
      </c>
      <c r="I14" s="29">
        <f t="shared" si="2"/>
        <v>-18662</v>
      </c>
      <c r="J14" s="30">
        <f t="shared" si="3"/>
        <v>-0.7921725103998641</v>
      </c>
      <c r="L14" s="29">
        <v>17109</v>
      </c>
      <c r="M14" s="29">
        <f t="shared" si="1"/>
        <v>-14657</v>
      </c>
      <c r="N14" s="30">
        <f t="shared" si="4"/>
        <v>-0.8566836168098662</v>
      </c>
      <c r="P14" s="29">
        <f>SUM(I14+X14)</f>
        <v>-18149</v>
      </c>
      <c r="Q14" s="30">
        <f>SUM(P14/H14)</f>
        <v>-0.7703964682910264</v>
      </c>
      <c r="S14" s="29">
        <f>SUM(M14+X14)</f>
        <v>-14144</v>
      </c>
      <c r="T14" s="30">
        <f>SUM(S14/L14)</f>
        <v>-0.8266993979776726</v>
      </c>
      <c r="V14" s="28">
        <v>1997</v>
      </c>
      <c r="W14" s="28">
        <v>2444</v>
      </c>
      <c r="X14" s="28">
        <v>513</v>
      </c>
      <c r="Y14" s="195">
        <f t="shared" si="5"/>
        <v>0.10374395109941421</v>
      </c>
      <c r="Z14" s="195">
        <f t="shared" si="6"/>
        <v>0.2092169657422512</v>
      </c>
    </row>
    <row r="15" spans="1:26" ht="12.75">
      <c r="A15" s="142" t="s">
        <v>292</v>
      </c>
      <c r="B15" s="28" t="s">
        <v>396</v>
      </c>
      <c r="C15" s="43"/>
      <c r="D15" s="44">
        <f>'3.1. Efnah.'!AN61/1000</f>
        <v>974.4294800000001</v>
      </c>
      <c r="E15" s="44"/>
      <c r="F15" s="29">
        <v>857</v>
      </c>
      <c r="G15" s="29">
        <f t="shared" si="0"/>
        <v>1468</v>
      </c>
      <c r="H15" s="44">
        <v>3029</v>
      </c>
      <c r="I15" s="29">
        <f t="shared" si="2"/>
        <v>-1561</v>
      </c>
      <c r="J15" s="30">
        <f t="shared" si="3"/>
        <v>-0.5153516011885111</v>
      </c>
      <c r="L15" s="29">
        <v>1436</v>
      </c>
      <c r="M15" s="29">
        <f t="shared" si="1"/>
        <v>-579</v>
      </c>
      <c r="N15" s="30">
        <f t="shared" si="4"/>
        <v>-0.4032033426183844</v>
      </c>
      <c r="P15" s="29"/>
      <c r="Q15" s="30"/>
      <c r="S15" s="29"/>
      <c r="T15" s="30"/>
      <c r="V15" s="28">
        <v>1996</v>
      </c>
      <c r="W15" s="28">
        <v>611</v>
      </c>
      <c r="Y15" s="195">
        <f t="shared" si="5"/>
        <v>0.2017167381974249</v>
      </c>
      <c r="Z15" s="195">
        <f t="shared" si="6"/>
        <v>0</v>
      </c>
    </row>
    <row r="16" spans="1:26" ht="12.75">
      <c r="A16" s="142" t="s">
        <v>295</v>
      </c>
      <c r="B16" s="143" t="s">
        <v>660</v>
      </c>
      <c r="C16" s="43" t="s">
        <v>230</v>
      </c>
      <c r="D16" s="44">
        <f>'3.1. Efnah.'!AP61/1000</f>
        <v>826.099983</v>
      </c>
      <c r="E16" s="44"/>
      <c r="F16" s="29">
        <v>826</v>
      </c>
      <c r="G16" s="29">
        <f t="shared" si="0"/>
        <v>1521</v>
      </c>
      <c r="H16" s="44">
        <v>3614</v>
      </c>
      <c r="I16" s="29">
        <f t="shared" si="2"/>
        <v>-2093</v>
      </c>
      <c r="J16" s="30">
        <f t="shared" si="3"/>
        <v>-0.579136690647482</v>
      </c>
      <c r="L16" s="29">
        <v>1810</v>
      </c>
      <c r="M16" s="29">
        <f t="shared" si="1"/>
        <v>-984</v>
      </c>
      <c r="N16" s="30">
        <f t="shared" si="4"/>
        <v>-0.543646408839779</v>
      </c>
      <c r="P16" s="29">
        <f>SUM(I16+X16)</f>
        <v>-2045</v>
      </c>
      <c r="Q16" s="30">
        <f>SUM(P16/H16)</f>
        <v>-0.5658550083010515</v>
      </c>
      <c r="S16" s="29">
        <f>SUM(M16+X16)</f>
        <v>-936</v>
      </c>
      <c r="T16" s="30">
        <f>SUM(S16/L16)</f>
        <v>-0.5171270718232044</v>
      </c>
      <c r="V16" s="28">
        <v>1997</v>
      </c>
      <c r="W16" s="28">
        <v>695</v>
      </c>
      <c r="X16" s="28">
        <v>48</v>
      </c>
      <c r="Y16" s="195">
        <f t="shared" si="5"/>
        <v>0.19230769230769232</v>
      </c>
      <c r="Z16" s="195">
        <f t="shared" si="6"/>
        <v>0.05811138014527845</v>
      </c>
    </row>
    <row r="17" spans="1:26" ht="12.75">
      <c r="A17" s="142" t="s">
        <v>301</v>
      </c>
      <c r="B17" s="28" t="s">
        <v>397</v>
      </c>
      <c r="C17" s="43" t="s">
        <v>230</v>
      </c>
      <c r="D17" s="44">
        <f>'3.1. Efnah.'!AR61/1000</f>
        <v>777.5625880000001</v>
      </c>
      <c r="E17" s="44"/>
      <c r="F17" s="29">
        <v>778</v>
      </c>
      <c r="G17" s="29">
        <f t="shared" si="0"/>
        <v>1319</v>
      </c>
      <c r="H17" s="44">
        <v>4401</v>
      </c>
      <c r="I17" s="29">
        <f t="shared" si="2"/>
        <v>-3082</v>
      </c>
      <c r="J17" s="30">
        <f t="shared" si="3"/>
        <v>-0.7002953874119519</v>
      </c>
      <c r="L17" s="29">
        <v>2905</v>
      </c>
      <c r="M17" s="29">
        <f t="shared" si="1"/>
        <v>-2127</v>
      </c>
      <c r="N17" s="30">
        <f t="shared" si="4"/>
        <v>-0.7321858864027538</v>
      </c>
      <c r="P17" s="29">
        <f>SUM(I17+X17)</f>
        <v>-2926</v>
      </c>
      <c r="Q17" s="30">
        <f>SUM(P17/H17)</f>
        <v>-0.6648488979777323</v>
      </c>
      <c r="S17" s="29">
        <f>SUM(M17+X17)</f>
        <v>-1971</v>
      </c>
      <c r="T17" s="30">
        <f>SUM(S17/L17)</f>
        <v>-0.6784853700516351</v>
      </c>
      <c r="V17" s="28">
        <v>1997</v>
      </c>
      <c r="W17" s="28">
        <v>541</v>
      </c>
      <c r="X17" s="28">
        <v>156</v>
      </c>
      <c r="Y17" s="195">
        <f t="shared" si="5"/>
        <v>0.12292660758918428</v>
      </c>
      <c r="Z17" s="195">
        <f t="shared" si="6"/>
        <v>0.20051413881748073</v>
      </c>
    </row>
    <row r="18" spans="1:26" ht="12.75">
      <c r="A18" s="142" t="s">
        <v>310</v>
      </c>
      <c r="B18" s="143" t="s">
        <v>398</v>
      </c>
      <c r="C18" s="43"/>
      <c r="D18" s="44">
        <f>'3.1. Efnah.'!AW61/1000</f>
        <v>607.931465</v>
      </c>
      <c r="E18" s="44"/>
      <c r="F18" s="29">
        <v>608</v>
      </c>
      <c r="G18" s="29">
        <f t="shared" si="0"/>
        <v>936</v>
      </c>
      <c r="H18" s="44">
        <v>2357</v>
      </c>
      <c r="I18" s="29">
        <f t="shared" si="2"/>
        <v>-1421</v>
      </c>
      <c r="J18" s="30">
        <f t="shared" si="3"/>
        <v>-0.6028850233347476</v>
      </c>
      <c r="L18" s="29">
        <v>1721</v>
      </c>
      <c r="M18" s="29">
        <f t="shared" si="1"/>
        <v>-1113</v>
      </c>
      <c r="N18" s="30">
        <f t="shared" si="4"/>
        <v>-0.6467170249854736</v>
      </c>
      <c r="P18" s="29">
        <f>SUM(I18+X18)</f>
        <v>-1360</v>
      </c>
      <c r="Q18" s="30">
        <f>SUM(P18/H18)</f>
        <v>-0.5770046669495121</v>
      </c>
      <c r="S18" s="29">
        <f>SUM(M18+X18)</f>
        <v>-1052</v>
      </c>
      <c r="T18" s="30">
        <f>SUM(S18/L18)</f>
        <v>-0.6112725159790819</v>
      </c>
      <c r="V18" s="28">
        <v>1997</v>
      </c>
      <c r="W18" s="28">
        <v>328</v>
      </c>
      <c r="X18" s="28">
        <v>61</v>
      </c>
      <c r="Y18" s="195">
        <f t="shared" si="5"/>
        <v>0.1391599490878235</v>
      </c>
      <c r="Z18" s="195">
        <f t="shared" si="6"/>
        <v>0.10032894736842106</v>
      </c>
    </row>
    <row r="19" spans="1:26" ht="12.75">
      <c r="A19" s="142" t="s">
        <v>321</v>
      </c>
      <c r="B19" s="143" t="s">
        <v>631</v>
      </c>
      <c r="C19" s="43"/>
      <c r="D19" s="44">
        <f>'3.1. Efnah.'!BB61/1000</f>
        <v>347.864197</v>
      </c>
      <c r="E19" s="44"/>
      <c r="F19" s="29">
        <v>348</v>
      </c>
      <c r="G19" s="29">
        <f t="shared" si="0"/>
        <v>762</v>
      </c>
      <c r="H19" s="44">
        <v>2656</v>
      </c>
      <c r="I19" s="29">
        <f t="shared" si="2"/>
        <v>-1894</v>
      </c>
      <c r="J19" s="30">
        <f t="shared" si="3"/>
        <v>-0.7131024096385542</v>
      </c>
      <c r="L19" s="29">
        <v>1621</v>
      </c>
      <c r="M19" s="29">
        <f t="shared" si="1"/>
        <v>-1273</v>
      </c>
      <c r="N19" s="30">
        <f t="shared" si="4"/>
        <v>-0.7853177051202961</v>
      </c>
      <c r="P19" s="29"/>
      <c r="Q19" s="30"/>
      <c r="S19" s="29"/>
      <c r="T19" s="30"/>
      <c r="V19" s="28">
        <v>1997</v>
      </c>
      <c r="W19" s="28">
        <v>414</v>
      </c>
      <c r="Y19" s="195">
        <f t="shared" si="5"/>
        <v>0.1558734939759036</v>
      </c>
      <c r="Z19" s="195">
        <f t="shared" si="6"/>
        <v>0</v>
      </c>
    </row>
    <row r="20" spans="1:26" ht="12.75">
      <c r="A20" s="142" t="s">
        <v>325</v>
      </c>
      <c r="B20" s="28" t="s">
        <v>399</v>
      </c>
      <c r="C20" s="43"/>
      <c r="D20" s="44">
        <f>'3.1. Efnah.'!BD61/1000</f>
        <v>232.46208199999998</v>
      </c>
      <c r="E20" s="44"/>
      <c r="F20" s="29">
        <v>196</v>
      </c>
      <c r="G20" s="29">
        <f t="shared" si="0"/>
        <v>291</v>
      </c>
      <c r="H20" s="44">
        <v>827</v>
      </c>
      <c r="I20" s="29">
        <f t="shared" si="2"/>
        <v>-536</v>
      </c>
      <c r="J20" s="30">
        <f t="shared" si="3"/>
        <v>-0.6481257557436517</v>
      </c>
      <c r="L20" s="29">
        <v>529</v>
      </c>
      <c r="M20" s="29">
        <f t="shared" si="1"/>
        <v>-333</v>
      </c>
      <c r="N20" s="30">
        <f t="shared" si="4"/>
        <v>-0.6294896030245747</v>
      </c>
      <c r="P20" s="29"/>
      <c r="Q20" s="30"/>
      <c r="S20" s="29"/>
      <c r="T20" s="30"/>
      <c r="V20" s="28">
        <v>1995</v>
      </c>
      <c r="W20" s="28">
        <v>95</v>
      </c>
      <c r="Y20" s="195">
        <f t="shared" si="5"/>
        <v>0.11487303506650544</v>
      </c>
      <c r="Z20" s="195">
        <f t="shared" si="6"/>
        <v>0</v>
      </c>
    </row>
    <row r="21" spans="1:26" ht="12.75">
      <c r="A21" s="144" t="s">
        <v>326</v>
      </c>
      <c r="B21" s="46" t="s">
        <v>400</v>
      </c>
      <c r="C21" s="57" t="s">
        <v>401</v>
      </c>
      <c r="D21" s="47">
        <f>'3.1. Efnah.'!BE61/1000</f>
        <v>181.586855</v>
      </c>
      <c r="E21" s="47"/>
      <c r="F21" s="47">
        <v>182</v>
      </c>
      <c r="H21" s="185"/>
      <c r="K21" s="48"/>
      <c r="L21" s="47">
        <v>2396.4</v>
      </c>
      <c r="M21" s="29">
        <f t="shared" si="1"/>
        <v>-2214.4</v>
      </c>
      <c r="N21" s="30">
        <f t="shared" si="4"/>
        <v>-0.9240527457853447</v>
      </c>
      <c r="O21" s="48"/>
      <c r="P21" s="29"/>
      <c r="Q21" s="30"/>
      <c r="S21" s="29"/>
      <c r="T21" s="30"/>
      <c r="U21" s="46"/>
      <c r="V21" s="28">
        <v>1997</v>
      </c>
      <c r="Y21" s="195"/>
      <c r="Z21" s="195"/>
    </row>
    <row r="22" spans="1:26" ht="12.75">
      <c r="A22" s="142" t="s">
        <v>330</v>
      </c>
      <c r="B22" s="28" t="s">
        <v>402</v>
      </c>
      <c r="C22" s="43" t="s">
        <v>234</v>
      </c>
      <c r="D22" s="44">
        <f>'3.1. Efnah.'!BH61/1000</f>
        <v>149.601198</v>
      </c>
      <c r="E22" s="44"/>
      <c r="F22" s="29">
        <v>133</v>
      </c>
      <c r="G22" s="29">
        <f t="shared" si="0"/>
        <v>189</v>
      </c>
      <c r="H22" s="44">
        <v>586</v>
      </c>
      <c r="I22" s="29">
        <f t="shared" si="2"/>
        <v>-397</v>
      </c>
      <c r="J22" s="30">
        <f t="shared" si="3"/>
        <v>-0.6774744027303754</v>
      </c>
      <c r="L22" s="29">
        <v>429</v>
      </c>
      <c r="M22" s="29">
        <f t="shared" si="1"/>
        <v>-296</v>
      </c>
      <c r="N22" s="30">
        <f t="shared" si="4"/>
        <v>-0.6899766899766899</v>
      </c>
      <c r="P22" s="29">
        <f>SUM(I22+X22)</f>
        <v>-384</v>
      </c>
      <c r="Q22" s="30">
        <f>SUM(P22/H22)</f>
        <v>-0.6552901023890785</v>
      </c>
      <c r="S22" s="29">
        <f>SUM(M22+X22)</f>
        <v>-283</v>
      </c>
      <c r="T22" s="30">
        <f>SUM(S22/L22)</f>
        <v>-0.6596736596736597</v>
      </c>
      <c r="V22" s="28">
        <v>1995</v>
      </c>
      <c r="W22" s="28">
        <v>56</v>
      </c>
      <c r="X22" s="28">
        <v>13</v>
      </c>
      <c r="Y22" s="195">
        <f t="shared" si="5"/>
        <v>0.09556313993174062</v>
      </c>
      <c r="Z22" s="195">
        <f t="shared" si="6"/>
        <v>0.09774436090225563</v>
      </c>
    </row>
    <row r="23" spans="1:26" ht="12.75">
      <c r="A23" s="142" t="s">
        <v>335</v>
      </c>
      <c r="B23" s="143" t="s">
        <v>403</v>
      </c>
      <c r="C23" s="43" t="s">
        <v>230</v>
      </c>
      <c r="D23" s="44">
        <f>'3.1. Efnah.'!BK61/1000</f>
        <v>98.07244800000001</v>
      </c>
      <c r="E23" s="44"/>
      <c r="F23" s="29">
        <v>98</v>
      </c>
      <c r="G23" s="29">
        <f t="shared" si="0"/>
        <v>255</v>
      </c>
      <c r="H23" s="44">
        <v>1287</v>
      </c>
      <c r="I23" s="29">
        <f t="shared" si="2"/>
        <v>-1032</v>
      </c>
      <c r="J23" s="30">
        <f t="shared" si="3"/>
        <v>-0.8018648018648019</v>
      </c>
      <c r="L23" s="29">
        <v>873</v>
      </c>
      <c r="M23" s="29">
        <f t="shared" si="1"/>
        <v>-775</v>
      </c>
      <c r="N23" s="30">
        <f t="shared" si="4"/>
        <v>-0.8877434135166093</v>
      </c>
      <c r="P23" s="29"/>
      <c r="Q23" s="30"/>
      <c r="S23" s="29"/>
      <c r="T23" s="30"/>
      <c r="V23" s="28">
        <v>1995</v>
      </c>
      <c r="W23" s="28">
        <v>157</v>
      </c>
      <c r="Y23" s="195">
        <f t="shared" si="5"/>
        <v>0.12198912198912198</v>
      </c>
      <c r="Z23" s="195">
        <f t="shared" si="6"/>
        <v>0</v>
      </c>
    </row>
    <row r="24" spans="1:26" ht="12.75">
      <c r="A24" s="142" t="s">
        <v>340</v>
      </c>
      <c r="B24" s="28" t="s">
        <v>404</v>
      </c>
      <c r="C24" s="43" t="s">
        <v>175</v>
      </c>
      <c r="D24" s="44">
        <f>'3.1. Efnah.'!BN61/1000</f>
        <v>0</v>
      </c>
      <c r="E24" s="44"/>
      <c r="F24" s="29">
        <v>0</v>
      </c>
      <c r="H24" s="44"/>
      <c r="L24" s="29">
        <v>2662</v>
      </c>
      <c r="M24" s="29">
        <f t="shared" si="1"/>
        <v>-2662</v>
      </c>
      <c r="N24" s="30">
        <f t="shared" si="4"/>
        <v>-1</v>
      </c>
      <c r="P24" s="29"/>
      <c r="Q24" s="30"/>
      <c r="S24" s="29"/>
      <c r="T24" s="30"/>
      <c r="V24" s="28">
        <v>1997</v>
      </c>
      <c r="Y24" s="195"/>
      <c r="Z24" s="195"/>
    </row>
    <row r="25" spans="1:26" ht="12.75">
      <c r="A25" s="142" t="s">
        <v>645</v>
      </c>
      <c r="B25" s="28" t="s">
        <v>405</v>
      </c>
      <c r="C25" s="43" t="s">
        <v>175</v>
      </c>
      <c r="D25" s="44">
        <f>'3.1. Efnah.'!BO61/1000</f>
        <v>0</v>
      </c>
      <c r="E25" s="44"/>
      <c r="F25" s="29">
        <v>0</v>
      </c>
      <c r="H25" s="44"/>
      <c r="L25" s="29">
        <v>345</v>
      </c>
      <c r="M25" s="29">
        <f t="shared" si="1"/>
        <v>-345</v>
      </c>
      <c r="N25" s="30">
        <f t="shared" si="4"/>
        <v>-1</v>
      </c>
      <c r="P25" s="29"/>
      <c r="Q25" s="30"/>
      <c r="S25" s="29"/>
      <c r="T25" s="30"/>
      <c r="V25" s="28">
        <v>1997</v>
      </c>
      <c r="Y25" s="195"/>
      <c r="Z25" s="195"/>
    </row>
    <row r="26" spans="1:26" ht="12.75">
      <c r="A26" s="142"/>
      <c r="C26" s="43"/>
      <c r="D26" s="44"/>
      <c r="E26" s="44"/>
      <c r="H26" s="44"/>
      <c r="P26" s="29"/>
      <c r="Q26" s="30"/>
      <c r="S26" s="29"/>
      <c r="T26" s="30"/>
      <c r="Y26" s="195"/>
      <c r="Z26" s="195"/>
    </row>
    <row r="27" spans="1:26" ht="12.75">
      <c r="A27" s="142"/>
      <c r="B27" s="181" t="s">
        <v>406</v>
      </c>
      <c r="C27" s="57"/>
      <c r="D27" s="44"/>
      <c r="E27" s="44"/>
      <c r="H27" s="44"/>
      <c r="P27" s="29"/>
      <c r="Q27" s="30"/>
      <c r="S27" s="29"/>
      <c r="T27" s="30"/>
      <c r="Y27" s="195"/>
      <c r="Z27" s="195"/>
    </row>
    <row r="28" spans="1:26" ht="18" customHeight="1">
      <c r="A28" s="144" t="s">
        <v>251</v>
      </c>
      <c r="B28" s="145" t="s">
        <v>662</v>
      </c>
      <c r="C28" s="57" t="s">
        <v>234</v>
      </c>
      <c r="D28" s="44">
        <f>'3.1. Efnah.'!P61/1000</f>
        <v>7097.774622000001</v>
      </c>
      <c r="E28" s="47"/>
      <c r="F28" s="47">
        <v>7098</v>
      </c>
      <c r="G28" s="29">
        <f t="shared" si="0"/>
        <v>11461</v>
      </c>
      <c r="H28" s="185">
        <v>19110</v>
      </c>
      <c r="I28" s="29">
        <f>SUM(G28-H28)</f>
        <v>-7649</v>
      </c>
      <c r="J28" s="30">
        <f>I28/H28</f>
        <v>-0.400261643118786</v>
      </c>
      <c r="L28" s="47">
        <v>12541</v>
      </c>
      <c r="M28" s="47">
        <f>F28-L28</f>
        <v>-5443</v>
      </c>
      <c r="N28" s="30">
        <f>M28/L28</f>
        <v>-0.4340164261223188</v>
      </c>
      <c r="O28" s="48"/>
      <c r="P28" s="29">
        <f>SUM(I28+X28)</f>
        <v>-7121</v>
      </c>
      <c r="Q28" s="30">
        <f>SUM(P28/H28)</f>
        <v>-0.37263212977498694</v>
      </c>
      <c r="R28" s="46"/>
      <c r="S28" s="29">
        <f>SUM(M28+X28)</f>
        <v>-4915</v>
      </c>
      <c r="T28" s="30">
        <f>SUM(S28/L28)</f>
        <v>-0.391914520373176</v>
      </c>
      <c r="U28" s="46"/>
      <c r="V28" s="46">
        <v>1997</v>
      </c>
      <c r="W28" s="207">
        <v>4363</v>
      </c>
      <c r="X28" s="46">
        <v>528</v>
      </c>
      <c r="Y28" s="195">
        <f>SUM(W28/H28)</f>
        <v>0.2283097854526426</v>
      </c>
      <c r="Z28" s="195">
        <f>SUM(X28/F28)</f>
        <v>0.07438715131022823</v>
      </c>
    </row>
    <row r="29" spans="1:26" ht="12.75">
      <c r="A29" s="144" t="s">
        <v>258</v>
      </c>
      <c r="B29" s="46" t="s">
        <v>407</v>
      </c>
      <c r="C29" s="57" t="s">
        <v>234</v>
      </c>
      <c r="D29" s="47">
        <f>'3.1. Efnah.'!U61/1000</f>
        <v>4701.049999999999</v>
      </c>
      <c r="E29" s="47"/>
      <c r="F29" s="47">
        <v>4701</v>
      </c>
      <c r="G29" s="29">
        <f t="shared" si="0"/>
        <v>6650</v>
      </c>
      <c r="H29" s="47">
        <v>7115</v>
      </c>
      <c r="I29" s="29">
        <f>SUM(G29-H29)</f>
        <v>-465</v>
      </c>
      <c r="J29" s="30">
        <f>I29/H29</f>
        <v>-0.06535488404778636</v>
      </c>
      <c r="K29" s="48"/>
      <c r="L29" s="47">
        <v>4701</v>
      </c>
      <c r="M29" s="47">
        <f>F29-L29</f>
        <v>0</v>
      </c>
      <c r="N29" s="30">
        <f>M29/L29</f>
        <v>0</v>
      </c>
      <c r="O29" s="48"/>
      <c r="P29" s="29">
        <f>SUM(I29+X29)</f>
        <v>92</v>
      </c>
      <c r="Q29" s="30">
        <f>SUM(P29/H29)</f>
        <v>0.012930428671820099</v>
      </c>
      <c r="R29" s="46"/>
      <c r="S29" s="29">
        <f>SUM(M29+X29)</f>
        <v>557</v>
      </c>
      <c r="T29" s="30">
        <f>SUM(S29/L29)</f>
        <v>0.11848542863220592</v>
      </c>
      <c r="U29" s="46"/>
      <c r="V29" s="46">
        <v>1997</v>
      </c>
      <c r="W29" s="153">
        <v>1949</v>
      </c>
      <c r="X29" s="46">
        <v>557</v>
      </c>
      <c r="Y29" s="195">
        <f>SUM(W29/H29)</f>
        <v>0.273928320449754</v>
      </c>
      <c r="Z29" s="195">
        <f>SUM(X29/F29)</f>
        <v>0.11848542863220592</v>
      </c>
    </row>
    <row r="30" spans="1:26" ht="12.75">
      <c r="A30" s="144" t="s">
        <v>273</v>
      </c>
      <c r="B30" s="59" t="s">
        <v>415</v>
      </c>
      <c r="C30" s="73" t="s">
        <v>416</v>
      </c>
      <c r="D30" s="47">
        <f>'3.1. Efnah.'!AD61/1000</f>
        <v>2150.927761</v>
      </c>
      <c r="E30" s="47"/>
      <c r="F30" s="47">
        <v>2151</v>
      </c>
      <c r="H30" s="47"/>
      <c r="K30" s="48"/>
      <c r="L30" s="47">
        <v>2184</v>
      </c>
      <c r="M30" s="47">
        <f>F30-L30</f>
        <v>-33</v>
      </c>
      <c r="N30" s="30">
        <f>M30/L30</f>
        <v>-0.01510989010989011</v>
      </c>
      <c r="O30" s="48"/>
      <c r="P30" s="29"/>
      <c r="Q30" s="30"/>
      <c r="S30" s="29"/>
      <c r="T30" s="30"/>
      <c r="U30" s="46"/>
      <c r="V30" s="46">
        <v>1997</v>
      </c>
      <c r="W30" s="153"/>
      <c r="X30" s="197"/>
      <c r="Y30" s="195"/>
      <c r="Z30" s="195"/>
    </row>
    <row r="31" spans="1:26" ht="12.75">
      <c r="A31" s="144" t="s">
        <v>277</v>
      </c>
      <c r="B31" s="46" t="s">
        <v>417</v>
      </c>
      <c r="C31" s="57" t="s">
        <v>175</v>
      </c>
      <c r="D31" s="44">
        <f>'3.1. Efnah.'!AF61/1000</f>
        <v>1926.004472</v>
      </c>
      <c r="E31" s="47"/>
      <c r="F31" s="47">
        <v>1926</v>
      </c>
      <c r="H31" s="47"/>
      <c r="K31" s="48"/>
      <c r="L31" s="47">
        <v>1926</v>
      </c>
      <c r="M31" s="47">
        <f>F31-L31</f>
        <v>0</v>
      </c>
      <c r="N31" s="30">
        <f>M31/L31</f>
        <v>0</v>
      </c>
      <c r="O31" s="48"/>
      <c r="P31" s="29"/>
      <c r="Q31" s="30"/>
      <c r="S31" s="29">
        <f>SUM(M31+X31)</f>
        <v>27</v>
      </c>
      <c r="T31" s="30">
        <f>SUM(S31/L31)</f>
        <v>0.014018691588785047</v>
      </c>
      <c r="U31" s="46"/>
      <c r="V31" s="46">
        <v>1997</v>
      </c>
      <c r="W31" s="153"/>
      <c r="X31" s="55">
        <v>27</v>
      </c>
      <c r="Y31" s="195"/>
      <c r="Z31" s="195">
        <f>SUM(X31/F31)</f>
        <v>0.014018691588785047</v>
      </c>
    </row>
    <row r="32" spans="1:26" ht="12.75">
      <c r="A32"/>
      <c r="B32"/>
      <c r="C32"/>
      <c r="D32"/>
      <c r="E32"/>
      <c r="F32"/>
      <c r="G32"/>
      <c r="H32"/>
      <c r="I32"/>
      <c r="J32"/>
      <c r="K32"/>
      <c r="L32" s="47"/>
      <c r="M32"/>
      <c r="N32"/>
      <c r="O32"/>
      <c r="P32"/>
      <c r="Q32"/>
      <c r="R32"/>
      <c r="S32"/>
      <c r="T32"/>
      <c r="U32"/>
      <c r="V32"/>
      <c r="W32"/>
      <c r="X32" s="46"/>
      <c r="Y32" s="46"/>
      <c r="Z32"/>
    </row>
    <row r="33" spans="2:4" ht="12.75">
      <c r="B33" s="181" t="s">
        <v>408</v>
      </c>
      <c r="D33" s="28" t="s">
        <v>175</v>
      </c>
    </row>
    <row r="34" ht="12.75">
      <c r="B34"/>
    </row>
    <row r="35" spans="1:2" ht="12.75">
      <c r="A35" s="172" t="s">
        <v>299</v>
      </c>
      <c r="B35"/>
    </row>
    <row r="36" spans="1:2" ht="12.75">
      <c r="A36" s="172" t="s">
        <v>409</v>
      </c>
      <c r="B36"/>
    </row>
    <row r="37" spans="1:2" ht="12.75">
      <c r="A37" s="156" t="s">
        <v>410</v>
      </c>
      <c r="B37"/>
    </row>
    <row r="38" spans="1:3" ht="12.75">
      <c r="A38" s="156" t="s">
        <v>411</v>
      </c>
      <c r="B38"/>
      <c r="C38"/>
    </row>
    <row r="39" spans="1:25" ht="13.5">
      <c r="A39" s="45"/>
      <c r="B39" s="52" t="s">
        <v>412</v>
      </c>
      <c r="C39" s="46"/>
      <c r="D39" s="47"/>
      <c r="E39" s="47"/>
      <c r="F39" s="47"/>
      <c r="G39" s="47"/>
      <c r="H39" s="47"/>
      <c r="I39" s="47"/>
      <c r="J39" s="48"/>
      <c r="K39" s="48"/>
      <c r="L39" s="47"/>
      <c r="M39" s="47"/>
      <c r="N39" s="48"/>
      <c r="O39" s="48"/>
      <c r="P39" s="46"/>
      <c r="Q39" s="46"/>
      <c r="R39" s="46"/>
      <c r="S39" s="46"/>
      <c r="T39" s="46"/>
      <c r="U39" s="46"/>
      <c r="V39" s="46"/>
      <c r="W39" s="46"/>
      <c r="X39" s="46"/>
      <c r="Y39" s="153"/>
    </row>
    <row r="40" spans="1:22" s="165" customFormat="1" ht="15.75">
      <c r="A40" s="166" t="s">
        <v>352</v>
      </c>
      <c r="B40" s="167"/>
      <c r="C40" s="167"/>
      <c r="D40" s="167"/>
      <c r="E40" s="167"/>
      <c r="F40" s="167"/>
      <c r="G40" s="167"/>
      <c r="H40" s="168"/>
      <c r="I40" s="169"/>
      <c r="J40" s="170"/>
      <c r="K40" s="170"/>
      <c r="L40" s="171"/>
      <c r="M40" s="171"/>
      <c r="N40" s="170"/>
      <c r="O40" s="170"/>
      <c r="P40" s="167"/>
      <c r="Q40" s="167"/>
      <c r="R40" s="167"/>
      <c r="S40" s="167"/>
      <c r="T40" s="167"/>
      <c r="U40" s="167"/>
      <c r="V40" s="167"/>
    </row>
    <row r="41" spans="1:22" s="165" customFormat="1" ht="15.75">
      <c r="A41" s="166" t="s">
        <v>353</v>
      </c>
      <c r="B41" s="167"/>
      <c r="C41" s="167"/>
      <c r="D41" s="167"/>
      <c r="E41" s="167"/>
      <c r="F41" s="167"/>
      <c r="G41" s="167"/>
      <c r="H41" s="168"/>
      <c r="I41" s="169"/>
      <c r="J41" s="170"/>
      <c r="K41" s="170"/>
      <c r="L41" s="171"/>
      <c r="M41" s="171"/>
      <c r="N41" s="170"/>
      <c r="O41" s="170"/>
      <c r="P41" s="167"/>
      <c r="Q41" s="167"/>
      <c r="R41" s="167"/>
      <c r="S41" s="167"/>
      <c r="T41" s="167"/>
      <c r="U41" s="167"/>
      <c r="V41" s="167"/>
    </row>
    <row r="42" spans="1:22" s="165" customFormat="1" ht="15.75">
      <c r="A42" s="166"/>
      <c r="B42" s="167"/>
      <c r="C42" s="167"/>
      <c r="D42" s="167"/>
      <c r="E42" s="167"/>
      <c r="F42" s="167"/>
      <c r="G42" s="167"/>
      <c r="H42" s="168"/>
      <c r="I42" s="169"/>
      <c r="J42" s="170"/>
      <c r="K42" s="170"/>
      <c r="L42" s="171"/>
      <c r="M42" s="171"/>
      <c r="N42" s="170"/>
      <c r="O42" s="170"/>
      <c r="P42" s="167"/>
      <c r="Q42" s="167"/>
      <c r="R42" s="167"/>
      <c r="S42" s="167"/>
      <c r="T42" s="167"/>
      <c r="U42" s="167"/>
      <c r="V42" s="167"/>
    </row>
    <row r="43" spans="1:25" ht="12.75">
      <c r="A43" s="46"/>
      <c r="B43" s="145" t="s">
        <v>175</v>
      </c>
      <c r="C43" s="46"/>
      <c r="D43" s="47"/>
      <c r="E43" s="47"/>
      <c r="F43" s="204" t="s">
        <v>354</v>
      </c>
      <c r="G43" s="198"/>
      <c r="H43" s="198"/>
      <c r="I43" s="198"/>
      <c r="J43" s="199"/>
      <c r="K43" s="48"/>
      <c r="L43" s="200" t="s">
        <v>355</v>
      </c>
      <c r="M43" s="201"/>
      <c r="N43" s="199"/>
      <c r="O43" s="48"/>
      <c r="P43" s="202" t="s">
        <v>356</v>
      </c>
      <c r="Q43" s="203"/>
      <c r="R43" s="203"/>
      <c r="S43" s="203"/>
      <c r="T43" s="203"/>
      <c r="U43" s="59"/>
      <c r="Y43" s="153"/>
    </row>
    <row r="44" spans="2:25" ht="12.75">
      <c r="B44" s="31" t="s">
        <v>357</v>
      </c>
      <c r="D44" s="32" t="s">
        <v>358</v>
      </c>
      <c r="E44" s="32"/>
      <c r="F44" s="33" t="s">
        <v>358</v>
      </c>
      <c r="G44" s="62" t="s">
        <v>358</v>
      </c>
      <c r="H44" s="62" t="s">
        <v>359</v>
      </c>
      <c r="I44" s="62" t="s">
        <v>360</v>
      </c>
      <c r="J44" s="147" t="s">
        <v>361</v>
      </c>
      <c r="K44" s="34"/>
      <c r="L44" s="33" t="s">
        <v>362</v>
      </c>
      <c r="M44" s="66" t="s">
        <v>360</v>
      </c>
      <c r="N44" s="147" t="s">
        <v>361</v>
      </c>
      <c r="O44" s="34"/>
      <c r="P44" s="62" t="s">
        <v>360</v>
      </c>
      <c r="Q44" s="147" t="s">
        <v>361</v>
      </c>
      <c r="R44" s="147"/>
      <c r="S44" s="66" t="s">
        <v>360</v>
      </c>
      <c r="T44" s="147" t="s">
        <v>361</v>
      </c>
      <c r="U44" s="63"/>
      <c r="V44" s="32" t="s">
        <v>363</v>
      </c>
      <c r="W44"/>
      <c r="Y44" s="32" t="s">
        <v>364</v>
      </c>
    </row>
    <row r="45" spans="2:26" ht="12.75">
      <c r="B45" s="206" t="s">
        <v>365</v>
      </c>
      <c r="D45" s="32" t="s">
        <v>366</v>
      </c>
      <c r="E45" s="32"/>
      <c r="F45" s="33" t="s">
        <v>367</v>
      </c>
      <c r="G45" s="65" t="s">
        <v>368</v>
      </c>
      <c r="H45" s="62" t="s">
        <v>369</v>
      </c>
      <c r="I45" s="62" t="s">
        <v>370</v>
      </c>
      <c r="J45" s="34" t="s">
        <v>370</v>
      </c>
      <c r="K45" s="34"/>
      <c r="L45" s="33" t="s">
        <v>369</v>
      </c>
      <c r="M45" s="62" t="s">
        <v>371</v>
      </c>
      <c r="N45" s="34" t="s">
        <v>372</v>
      </c>
      <c r="O45" s="34"/>
      <c r="P45" s="62" t="s">
        <v>370</v>
      </c>
      <c r="Q45" s="34" t="s">
        <v>370</v>
      </c>
      <c r="R45" s="34"/>
      <c r="S45" s="62" t="s">
        <v>371</v>
      </c>
      <c r="T45" s="34" t="s">
        <v>372</v>
      </c>
      <c r="U45" s="63"/>
      <c r="V45" s="32" t="s">
        <v>373</v>
      </c>
      <c r="W45"/>
      <c r="Y45" s="32" t="s">
        <v>374</v>
      </c>
      <c r="Z45" s="51" t="s">
        <v>375</v>
      </c>
    </row>
    <row r="46" spans="2:26" ht="12.75">
      <c r="B46"/>
      <c r="D46" s="32">
        <v>1997</v>
      </c>
      <c r="E46" s="32"/>
      <c r="F46" s="33" t="s">
        <v>376</v>
      </c>
      <c r="G46" s="62" t="s">
        <v>377</v>
      </c>
      <c r="H46" s="62" t="s">
        <v>378</v>
      </c>
      <c r="I46" s="62" t="s">
        <v>379</v>
      </c>
      <c r="J46" s="34" t="s">
        <v>379</v>
      </c>
      <c r="K46" s="149"/>
      <c r="L46" s="33" t="s">
        <v>378</v>
      </c>
      <c r="M46" s="62" t="s">
        <v>379</v>
      </c>
      <c r="N46" s="34" t="s">
        <v>379</v>
      </c>
      <c r="O46" s="34"/>
      <c r="P46" s="62" t="s">
        <v>379</v>
      </c>
      <c r="Q46" s="34" t="s">
        <v>379</v>
      </c>
      <c r="R46" s="148"/>
      <c r="S46" s="62" t="s">
        <v>379</v>
      </c>
      <c r="T46" s="34" t="s">
        <v>379</v>
      </c>
      <c r="U46" s="63"/>
      <c r="V46" s="32" t="s">
        <v>380</v>
      </c>
      <c r="W46" s="32" t="s">
        <v>381</v>
      </c>
      <c r="X46" s="52" t="s">
        <v>375</v>
      </c>
      <c r="Y46" s="32" t="s">
        <v>382</v>
      </c>
      <c r="Z46" s="51" t="s">
        <v>383</v>
      </c>
    </row>
    <row r="47" spans="1:26" ht="12.75">
      <c r="A47" s="35" t="s">
        <v>384</v>
      </c>
      <c r="B47"/>
      <c r="C47" s="32" t="s">
        <v>385</v>
      </c>
      <c r="D47" s="36" t="s">
        <v>386</v>
      </c>
      <c r="E47" s="36"/>
      <c r="F47" s="37" t="s">
        <v>386</v>
      </c>
      <c r="G47" s="67" t="s">
        <v>386</v>
      </c>
      <c r="H47" s="67" t="s">
        <v>386</v>
      </c>
      <c r="I47" s="67" t="s">
        <v>386</v>
      </c>
      <c r="J47" s="38" t="s">
        <v>224</v>
      </c>
      <c r="K47" s="38"/>
      <c r="L47" s="37" t="s">
        <v>386</v>
      </c>
      <c r="M47" s="67" t="s">
        <v>386</v>
      </c>
      <c r="N47" s="38" t="s">
        <v>224</v>
      </c>
      <c r="O47" s="38"/>
      <c r="P47" s="67" t="s">
        <v>386</v>
      </c>
      <c r="Q47" s="38" t="s">
        <v>224</v>
      </c>
      <c r="R47" s="38"/>
      <c r="S47" s="67" t="s">
        <v>386</v>
      </c>
      <c r="T47" s="68" t="s">
        <v>224</v>
      </c>
      <c r="U47" s="68"/>
      <c r="V47" s="32" t="s">
        <v>387</v>
      </c>
      <c r="W47" s="32" t="s">
        <v>377</v>
      </c>
      <c r="X47" s="52" t="s">
        <v>383</v>
      </c>
      <c r="Y47" s="32" t="s">
        <v>379</v>
      </c>
      <c r="Z47" s="51" t="s">
        <v>388</v>
      </c>
    </row>
    <row r="48" spans="2:26" ht="12.75">
      <c r="B48" s="35" t="s">
        <v>413</v>
      </c>
      <c r="D48" s="39" t="s">
        <v>390</v>
      </c>
      <c r="E48" s="39"/>
      <c r="F48" s="40" t="s">
        <v>111</v>
      </c>
      <c r="G48" s="193" t="s">
        <v>112</v>
      </c>
      <c r="H48" s="193" t="s">
        <v>113</v>
      </c>
      <c r="I48" s="193" t="s">
        <v>114</v>
      </c>
      <c r="J48" s="150" t="s">
        <v>115</v>
      </c>
      <c r="K48" s="150"/>
      <c r="L48" s="151" t="s">
        <v>116</v>
      </c>
      <c r="M48" s="154" t="s">
        <v>117</v>
      </c>
      <c r="N48" s="150" t="s">
        <v>391</v>
      </c>
      <c r="O48" s="150"/>
      <c r="P48" s="155" t="s">
        <v>392</v>
      </c>
      <c r="Q48" s="155" t="s">
        <v>393</v>
      </c>
      <c r="R48" s="59"/>
      <c r="S48" s="155" t="s">
        <v>119</v>
      </c>
      <c r="T48" s="155" t="s">
        <v>120</v>
      </c>
      <c r="U48" s="155"/>
      <c r="V48" s="152" t="s">
        <v>121</v>
      </c>
      <c r="W48" s="152" t="s">
        <v>122</v>
      </c>
      <c r="X48" s="152" t="s">
        <v>123</v>
      </c>
      <c r="Y48" s="152" t="s">
        <v>124</v>
      </c>
      <c r="Z48" s="152" t="s">
        <v>125</v>
      </c>
    </row>
    <row r="49" spans="1:25" ht="12.75">
      <c r="A49" s="46"/>
      <c r="B49" s="181" t="s">
        <v>414</v>
      </c>
      <c r="C49" s="57" t="s">
        <v>175</v>
      </c>
      <c r="D49" s="53"/>
      <c r="E49" s="53"/>
      <c r="F49" s="53"/>
      <c r="G49" s="53"/>
      <c r="H49" s="196" t="s">
        <v>175</v>
      </c>
      <c r="I49" s="53"/>
      <c r="J49" s="54"/>
      <c r="K49" s="54"/>
      <c r="L49" s="53"/>
      <c r="M49" s="53"/>
      <c r="N49" s="54"/>
      <c r="O49" s="54"/>
      <c r="P49" s="55"/>
      <c r="Q49" s="55"/>
      <c r="R49" s="55"/>
      <c r="S49" s="55"/>
      <c r="T49" s="55"/>
      <c r="U49" s="55"/>
      <c r="V49" s="55"/>
      <c r="W49" s="55"/>
      <c r="X49" s="55"/>
      <c r="Y49"/>
    </row>
    <row r="50" spans="1:26" ht="12.75" customHeight="1">
      <c r="A50" s="142" t="s">
        <v>227</v>
      </c>
      <c r="B50" s="143" t="s">
        <v>653</v>
      </c>
      <c r="C50" s="43" t="s">
        <v>230</v>
      </c>
      <c r="D50" s="44">
        <f>'3.1. Efnah.'!C61/1000</f>
        <v>33665.68066599999</v>
      </c>
      <c r="E50" s="44"/>
      <c r="F50" s="29">
        <v>100269</v>
      </c>
      <c r="G50" s="29">
        <f>SUM(F50)+W50</f>
        <v>121740</v>
      </c>
      <c r="H50" s="44">
        <v>154187</v>
      </c>
      <c r="I50" s="29">
        <f>SUM(G50-H50)</f>
        <v>-32447</v>
      </c>
      <c r="J50" s="30">
        <f>I50/H50</f>
        <v>-0.21043927179334185</v>
      </c>
      <c r="L50" s="29">
        <v>117487</v>
      </c>
      <c r="M50" s="29">
        <f>F50-L50</f>
        <v>-17218</v>
      </c>
      <c r="N50" s="30">
        <f>M50/L50</f>
        <v>-0.1465523845191383</v>
      </c>
      <c r="P50" s="29">
        <f>SUM(I50+X50)</f>
        <v>-28436</v>
      </c>
      <c r="Q50" s="30">
        <f>SUM(P50/H50)</f>
        <v>-0.18442540551408354</v>
      </c>
      <c r="S50" s="29">
        <f>SUM(M50+X50)</f>
        <v>-13207</v>
      </c>
      <c r="T50" s="30">
        <f>SUM(S50/L50)</f>
        <v>-0.11241243712070272</v>
      </c>
      <c r="V50" s="28">
        <v>1997</v>
      </c>
      <c r="W50" s="28">
        <v>21471</v>
      </c>
      <c r="X50" s="28">
        <v>4011</v>
      </c>
      <c r="Y50" s="195">
        <f>SUM(W50/H50)</f>
        <v>0.13925298501170658</v>
      </c>
      <c r="Z50" s="195">
        <f>SUM(X50/F50)</f>
        <v>0.04000239356132005</v>
      </c>
    </row>
    <row r="51" spans="1:26" ht="12.75" customHeight="1">
      <c r="A51" s="142" t="s">
        <v>260</v>
      </c>
      <c r="B51" s="143" t="s">
        <v>468</v>
      </c>
      <c r="C51" s="43" t="s">
        <v>394</v>
      </c>
      <c r="D51" s="44">
        <f>'3.1. Efnah.'!V61/1000</f>
        <v>4281.023991999999</v>
      </c>
      <c r="E51" s="44"/>
      <c r="F51" s="29">
        <v>12193</v>
      </c>
      <c r="G51" s="29">
        <f>SUM(F51)+W51</f>
        <v>14210</v>
      </c>
      <c r="H51" s="44">
        <v>16892</v>
      </c>
      <c r="I51" s="29">
        <f>SUM(G51-H51)</f>
        <v>-2682</v>
      </c>
      <c r="J51" s="30">
        <f>I51/H51</f>
        <v>-0.15877338385034337</v>
      </c>
      <c r="L51" s="29">
        <v>12627</v>
      </c>
      <c r="M51" s="29">
        <f>F51-L51</f>
        <v>-434</v>
      </c>
      <c r="N51" s="30">
        <f>M51/L51</f>
        <v>-0.03437079274570365</v>
      </c>
      <c r="P51" s="29">
        <f>SUM(I51+X51)</f>
        <v>-2251</v>
      </c>
      <c r="Q51" s="30">
        <f>SUM(P51/H51)</f>
        <v>-0.13325834714657825</v>
      </c>
      <c r="S51" s="29">
        <f>SUM(M51+X51)</f>
        <v>-3</v>
      </c>
      <c r="T51" s="30">
        <f>SUM(S51/L51)</f>
        <v>-0.00023758612497030174</v>
      </c>
      <c r="V51" s="28">
        <v>1997</v>
      </c>
      <c r="W51" s="28">
        <v>2017</v>
      </c>
      <c r="X51" s="28">
        <v>431</v>
      </c>
      <c r="Y51" s="195">
        <f>SUM(W51/H51)</f>
        <v>0.11940563580393085</v>
      </c>
      <c r="Z51" s="195">
        <f>SUM(X51/F51)</f>
        <v>0.03534815057820061</v>
      </c>
    </row>
    <row r="52" spans="1:26" ht="12.75">
      <c r="A52" s="144" t="s">
        <v>292</v>
      </c>
      <c r="B52" s="46" t="s">
        <v>396</v>
      </c>
      <c r="C52" s="57" t="s">
        <v>175</v>
      </c>
      <c r="D52" s="44">
        <f>'3.1. Efnah.'!AN61/1000</f>
        <v>974.4294800000001</v>
      </c>
      <c r="E52" s="47"/>
      <c r="F52" s="47">
        <v>857</v>
      </c>
      <c r="G52" s="29">
        <f>SUM(F52)+W52</f>
        <v>1405</v>
      </c>
      <c r="H52" s="44">
        <v>2367</v>
      </c>
      <c r="I52" s="29">
        <f>SUM(G52-H52)</f>
        <v>-962</v>
      </c>
      <c r="J52" s="30">
        <f>I52/H52</f>
        <v>-0.4064216307562315</v>
      </c>
      <c r="L52" s="47">
        <v>1213</v>
      </c>
      <c r="M52" s="47">
        <f>F52-L52</f>
        <v>-356</v>
      </c>
      <c r="N52" s="30">
        <f aca="true" t="shared" si="7" ref="N52:N59">M52/L52</f>
        <v>-0.29348722176422093</v>
      </c>
      <c r="O52" s="48"/>
      <c r="P52" s="194"/>
      <c r="Q52" s="184"/>
      <c r="S52" s="194"/>
      <c r="T52" s="184"/>
      <c r="U52" s="46"/>
      <c r="V52" s="46">
        <v>1996</v>
      </c>
      <c r="W52" s="153">
        <v>548</v>
      </c>
      <c r="X52" s="55"/>
      <c r="Y52" s="195">
        <f>SUM(W52/H52)</f>
        <v>0.23151668779045204</v>
      </c>
      <c r="Z52" s="143"/>
    </row>
    <row r="53" spans="1:26" ht="12.75">
      <c r="A53" s="144" t="s">
        <v>321</v>
      </c>
      <c r="B53" s="145" t="s">
        <v>631</v>
      </c>
      <c r="C53" s="173"/>
      <c r="D53" s="44">
        <f>'3.1. Efnah.'!BB61/1000</f>
        <v>347.864197</v>
      </c>
      <c r="E53" s="47"/>
      <c r="F53" s="47">
        <v>348</v>
      </c>
      <c r="G53" s="29">
        <f>SUM(F53)+W53</f>
        <v>720</v>
      </c>
      <c r="H53" s="44">
        <v>2110</v>
      </c>
      <c r="I53" s="29">
        <f>SUM(G53-H53)</f>
        <v>-1390</v>
      </c>
      <c r="J53" s="30">
        <f>I53/H53</f>
        <v>-0.6587677725118484</v>
      </c>
      <c r="L53" s="47">
        <v>1352</v>
      </c>
      <c r="M53" s="47">
        <f aca="true" t="shared" si="8" ref="M53:M59">F53-L53</f>
        <v>-1004</v>
      </c>
      <c r="N53" s="30">
        <f t="shared" si="7"/>
        <v>-0.742603550295858</v>
      </c>
      <c r="O53" s="48"/>
      <c r="P53" s="194"/>
      <c r="Q53" s="184"/>
      <c r="S53" s="194"/>
      <c r="T53" s="184"/>
      <c r="U53" s="46"/>
      <c r="V53" s="46">
        <v>1997</v>
      </c>
      <c r="W53" s="153">
        <v>372</v>
      </c>
      <c r="X53" s="46"/>
      <c r="Y53" s="195">
        <f>SUM(W53/H53)</f>
        <v>0.176303317535545</v>
      </c>
      <c r="Z53" s="195">
        <f>SUM(X53/F53)</f>
        <v>0</v>
      </c>
    </row>
    <row r="54" spans="1:26" ht="12.75">
      <c r="A54" s="144" t="s">
        <v>325</v>
      </c>
      <c r="B54" s="46" t="s">
        <v>399</v>
      </c>
      <c r="C54" s="46"/>
      <c r="D54" s="44">
        <f>'3.1. Efnah.'!BD61/1000</f>
        <v>232.46208199999998</v>
      </c>
      <c r="E54" s="47"/>
      <c r="F54" s="47">
        <v>196</v>
      </c>
      <c r="G54" s="29">
        <f>SUM(F54)+W54</f>
        <v>282</v>
      </c>
      <c r="H54" s="44">
        <v>658</v>
      </c>
      <c r="I54" s="29">
        <f>SUM(G54-H54)</f>
        <v>-376</v>
      </c>
      <c r="J54" s="30">
        <f>I54/H54</f>
        <v>-0.5714285714285714</v>
      </c>
      <c r="L54" s="47">
        <v>437</v>
      </c>
      <c r="M54" s="47">
        <f t="shared" si="8"/>
        <v>-241</v>
      </c>
      <c r="N54" s="30">
        <f t="shared" si="7"/>
        <v>-0.551487414187643</v>
      </c>
      <c r="O54" s="48"/>
      <c r="P54" s="194"/>
      <c r="Q54" s="184"/>
      <c r="S54" s="194"/>
      <c r="T54" s="184"/>
      <c r="U54" s="46"/>
      <c r="V54" s="46">
        <v>1995</v>
      </c>
      <c r="W54" s="153">
        <v>86</v>
      </c>
      <c r="X54" s="46"/>
      <c r="Y54" s="195">
        <f>SUM(W54/H54)</f>
        <v>0.13069908814589665</v>
      </c>
      <c r="Z54" s="195">
        <f>SUM(X54/F54)</f>
        <v>0</v>
      </c>
    </row>
    <row r="55" spans="1:26" ht="12.75">
      <c r="A55" s="144" t="s">
        <v>326</v>
      </c>
      <c r="B55" s="46" t="s">
        <v>400</v>
      </c>
      <c r="C55" s="57" t="s">
        <v>401</v>
      </c>
      <c r="D55" s="47">
        <f>'3.1. Efnah.'!BE61/1000</f>
        <v>181.586855</v>
      </c>
      <c r="E55" s="47"/>
      <c r="F55" s="47">
        <v>182</v>
      </c>
      <c r="G55" s="194" t="s">
        <v>175</v>
      </c>
      <c r="H55" s="185" t="s">
        <v>175</v>
      </c>
      <c r="I55" s="194" t="s">
        <v>175</v>
      </c>
      <c r="J55" s="184" t="s">
        <v>175</v>
      </c>
      <c r="K55" s="48"/>
      <c r="L55" s="47">
        <v>2044.3</v>
      </c>
      <c r="M55" s="47">
        <f t="shared" si="8"/>
        <v>-1862.3</v>
      </c>
      <c r="N55" s="30">
        <f t="shared" si="7"/>
        <v>-0.9109719708457663</v>
      </c>
      <c r="O55" s="48"/>
      <c r="P55" s="194"/>
      <c r="Q55" s="184"/>
      <c r="S55" s="194"/>
      <c r="T55" s="184"/>
      <c r="U55" s="46"/>
      <c r="V55" s="46">
        <v>1997</v>
      </c>
      <c r="W55" s="153"/>
      <c r="X55" s="46"/>
      <c r="Y55" s="46"/>
      <c r="Z55" s="195"/>
    </row>
    <row r="56" spans="1:26" ht="12.75">
      <c r="A56" s="144" t="s">
        <v>335</v>
      </c>
      <c r="B56" s="145" t="s">
        <v>403</v>
      </c>
      <c r="C56" s="57" t="s">
        <v>418</v>
      </c>
      <c r="D56" s="44">
        <v>98</v>
      </c>
      <c r="E56" s="47"/>
      <c r="F56" s="47">
        <v>98</v>
      </c>
      <c r="G56" s="29">
        <f>SUM(F56)+W56</f>
        <v>239</v>
      </c>
      <c r="H56" s="44">
        <v>1034</v>
      </c>
      <c r="I56" s="29">
        <f>SUM(G56-H56)</f>
        <v>-795</v>
      </c>
      <c r="J56" s="30">
        <f>I56/H56</f>
        <v>-0.7688588007736944</v>
      </c>
      <c r="L56" s="47">
        <v>734</v>
      </c>
      <c r="M56" s="47">
        <f t="shared" si="8"/>
        <v>-636</v>
      </c>
      <c r="N56" s="30">
        <f t="shared" si="7"/>
        <v>-0.8664850136239782</v>
      </c>
      <c r="O56" s="48"/>
      <c r="P56" s="194"/>
      <c r="Q56" s="184"/>
      <c r="S56" s="194"/>
      <c r="T56" s="184"/>
      <c r="U56" s="46"/>
      <c r="V56" s="46">
        <v>1995</v>
      </c>
      <c r="W56" s="153">
        <v>141</v>
      </c>
      <c r="X56" s="46"/>
      <c r="Y56" s="195">
        <f>SUM(W56/H56)</f>
        <v>0.13636363636363635</v>
      </c>
      <c r="Z56" s="195">
        <f>SUM(X56/F56)</f>
        <v>0</v>
      </c>
    </row>
    <row r="57" spans="1:26" ht="12.75">
      <c r="A57" s="144" t="s">
        <v>336</v>
      </c>
      <c r="B57" s="46" t="s">
        <v>419</v>
      </c>
      <c r="C57" s="57" t="s">
        <v>420</v>
      </c>
      <c r="D57" s="47">
        <f>'3.1. Efnah.'!BL61/1000</f>
        <v>35.818</v>
      </c>
      <c r="E57" s="47"/>
      <c r="F57" s="47">
        <v>34</v>
      </c>
      <c r="G57" s="47"/>
      <c r="H57" s="47"/>
      <c r="I57" s="47"/>
      <c r="J57" s="48"/>
      <c r="K57" s="48"/>
      <c r="L57" s="47">
        <v>31</v>
      </c>
      <c r="M57" s="47">
        <f t="shared" si="8"/>
        <v>3</v>
      </c>
      <c r="N57" s="30">
        <f t="shared" si="7"/>
        <v>0.0967741935483871</v>
      </c>
      <c r="O57" s="48"/>
      <c r="P57" s="194"/>
      <c r="Q57" s="184"/>
      <c r="S57" s="194"/>
      <c r="T57" s="184"/>
      <c r="U57" s="46"/>
      <c r="V57" s="46">
        <v>1996</v>
      </c>
      <c r="W57" s="46"/>
      <c r="X57" s="46"/>
      <c r="Y57" s="153"/>
      <c r="Z57" s="195"/>
    </row>
    <row r="58" spans="1:26" ht="12.75">
      <c r="A58" s="144" t="s">
        <v>340</v>
      </c>
      <c r="B58" s="46" t="s">
        <v>404</v>
      </c>
      <c r="C58" s="57" t="s">
        <v>175</v>
      </c>
      <c r="D58" s="44">
        <f>'3.1. Efnah.'!BN61/1000</f>
        <v>0</v>
      </c>
      <c r="E58" s="47"/>
      <c r="F58" s="47">
        <v>0</v>
      </c>
      <c r="G58" s="47"/>
      <c r="H58" s="47"/>
      <c r="I58" s="47"/>
      <c r="J58" s="48"/>
      <c r="K58" s="48"/>
      <c r="L58" s="47">
        <v>2313</v>
      </c>
      <c r="M58" s="47">
        <f t="shared" si="8"/>
        <v>-2313</v>
      </c>
      <c r="N58" s="30">
        <f t="shared" si="7"/>
        <v>-1</v>
      </c>
      <c r="O58" s="48"/>
      <c r="P58" s="194"/>
      <c r="Q58" s="184"/>
      <c r="S58" s="194"/>
      <c r="T58" s="184"/>
      <c r="U58" s="46"/>
      <c r="V58" s="46">
        <v>1997</v>
      </c>
      <c r="W58" s="46"/>
      <c r="X58" s="46"/>
      <c r="Y58" s="153"/>
      <c r="Z58" s="195"/>
    </row>
    <row r="59" spans="1:26" ht="12.75">
      <c r="A59" s="144" t="s">
        <v>645</v>
      </c>
      <c r="B59" s="46" t="s">
        <v>405</v>
      </c>
      <c r="C59" s="57" t="s">
        <v>175</v>
      </c>
      <c r="D59" s="44">
        <f>'3.1. Efnah.'!BO61/1000</f>
        <v>0</v>
      </c>
      <c r="E59" s="47"/>
      <c r="F59" s="47">
        <v>0</v>
      </c>
      <c r="G59" s="47"/>
      <c r="H59" s="47"/>
      <c r="I59" s="47"/>
      <c r="J59" s="48"/>
      <c r="K59" s="48"/>
      <c r="L59" s="47">
        <v>305</v>
      </c>
      <c r="M59" s="47">
        <f t="shared" si="8"/>
        <v>-305</v>
      </c>
      <c r="N59" s="30">
        <f t="shared" si="7"/>
        <v>-1</v>
      </c>
      <c r="O59" s="48"/>
      <c r="P59" s="194"/>
      <c r="Q59" s="184"/>
      <c r="S59" s="194"/>
      <c r="T59" s="184"/>
      <c r="U59" s="46"/>
      <c r="V59" s="46">
        <v>1997</v>
      </c>
      <c r="W59" s="46"/>
      <c r="X59" s="46"/>
      <c r="Y59" s="153"/>
      <c r="Z59" s="195"/>
    </row>
    <row r="60" spans="1:25" ht="12.75">
      <c r="A60" s="144"/>
      <c r="B60" s="46"/>
      <c r="C60" s="57"/>
      <c r="D60" s="47"/>
      <c r="E60" s="47"/>
      <c r="F60" s="47"/>
      <c r="G60" s="47"/>
      <c r="H60" s="47"/>
      <c r="I60" s="47"/>
      <c r="J60" s="48"/>
      <c r="K60" s="48"/>
      <c r="L60" s="47"/>
      <c r="M60" s="47"/>
      <c r="N60" s="48"/>
      <c r="O60" s="48"/>
      <c r="P60" s="46"/>
      <c r="Q60" s="46"/>
      <c r="R60" s="46"/>
      <c r="S60" s="46"/>
      <c r="T60" s="46"/>
      <c r="U60" s="46"/>
      <c r="V60" s="46"/>
      <c r="W60" s="46"/>
      <c r="X60" s="46"/>
      <c r="Y60" s="153"/>
    </row>
    <row r="61" spans="1:25" ht="12.75">
      <c r="A61" s="144"/>
      <c r="B61" s="46"/>
      <c r="C61" s="57"/>
      <c r="D61" s="47"/>
      <c r="E61" s="47"/>
      <c r="F61" s="47"/>
      <c r="G61" s="47"/>
      <c r="H61" s="47"/>
      <c r="I61" s="47"/>
      <c r="J61" s="48"/>
      <c r="K61" s="48"/>
      <c r="L61" s="47"/>
      <c r="M61" s="47"/>
      <c r="N61" s="48"/>
      <c r="O61" s="48"/>
      <c r="P61" s="46"/>
      <c r="Q61" s="46"/>
      <c r="R61" s="46"/>
      <c r="S61" s="46"/>
      <c r="T61" s="46"/>
      <c r="U61" s="46"/>
      <c r="V61" s="46"/>
      <c r="W61" s="46"/>
      <c r="X61" s="46"/>
      <c r="Y61" s="153"/>
    </row>
    <row r="62" spans="1:25" ht="12.75">
      <c r="A62" s="144"/>
      <c r="B62" s="46"/>
      <c r="C62" s="57"/>
      <c r="D62" s="47"/>
      <c r="E62" s="47"/>
      <c r="F62" s="47"/>
      <c r="G62" s="47"/>
      <c r="H62" s="47"/>
      <c r="I62" s="47"/>
      <c r="J62" s="48"/>
      <c r="K62" s="48"/>
      <c r="L62" s="47"/>
      <c r="M62" s="47"/>
      <c r="N62" s="48"/>
      <c r="O62" s="48"/>
      <c r="P62" s="46"/>
      <c r="Q62" s="46"/>
      <c r="R62" s="46"/>
      <c r="S62" s="46"/>
      <c r="T62" s="46"/>
      <c r="U62" s="46"/>
      <c r="V62" s="46"/>
      <c r="W62" s="46"/>
      <c r="X62" s="46"/>
      <c r="Y62" s="153"/>
    </row>
    <row r="63" spans="1:25" ht="12.75">
      <c r="A63" s="46"/>
      <c r="B63" s="46"/>
      <c r="C63" s="46"/>
      <c r="D63" s="49"/>
      <c r="E63" s="49"/>
      <c r="F63" s="49"/>
      <c r="G63" s="49"/>
      <c r="H63" s="49"/>
      <c r="I63" s="49"/>
      <c r="J63" s="34"/>
      <c r="K63" s="34"/>
      <c r="L63" s="49"/>
      <c r="M63" s="47"/>
      <c r="N63" s="50"/>
      <c r="O63" s="50"/>
      <c r="P63" s="51"/>
      <c r="Q63" s="51"/>
      <c r="R63" s="51"/>
      <c r="S63" s="51"/>
      <c r="T63" s="51"/>
      <c r="U63" s="51"/>
      <c r="V63" s="51"/>
      <c r="W63" s="51"/>
      <c r="X63" s="51"/>
      <c r="Y63" s="153"/>
    </row>
    <row r="64" spans="1:25" ht="12.75">
      <c r="A64" s="46"/>
      <c r="B64" s="145" t="s">
        <v>175</v>
      </c>
      <c r="C64" s="46"/>
      <c r="D64" s="53"/>
      <c r="E64" s="53"/>
      <c r="F64" s="53"/>
      <c r="G64" s="53"/>
      <c r="H64" s="53"/>
      <c r="I64" s="53"/>
      <c r="J64" s="54"/>
      <c r="K64" s="54"/>
      <c r="L64" s="53"/>
      <c r="M64" s="53"/>
      <c r="N64" s="54"/>
      <c r="O64" s="54"/>
      <c r="P64" s="55"/>
      <c r="Q64" s="55"/>
      <c r="R64" s="55"/>
      <c r="S64" s="55"/>
      <c r="T64" s="55"/>
      <c r="U64" s="55"/>
      <c r="V64" s="55"/>
      <c r="W64" s="55"/>
      <c r="X64" s="55"/>
      <c r="Y64" s="153"/>
    </row>
    <row r="65" spans="1:25" ht="12.75">
      <c r="A65" s="56"/>
      <c r="B65" s="46"/>
      <c r="C65" s="57"/>
      <c r="D65" s="47"/>
      <c r="E65" s="47"/>
      <c r="F65" s="47"/>
      <c r="G65" s="47"/>
      <c r="H65" s="47"/>
      <c r="I65" s="47"/>
      <c r="J65" s="48"/>
      <c r="K65" s="48"/>
      <c r="L65" s="47"/>
      <c r="M65" s="47"/>
      <c r="N65" s="48"/>
      <c r="O65" s="48"/>
      <c r="P65" s="46"/>
      <c r="Q65" s="46"/>
      <c r="R65" s="46"/>
      <c r="S65" s="46"/>
      <c r="T65" s="46"/>
      <c r="U65" s="46"/>
      <c r="V65" s="46"/>
      <c r="W65" s="46"/>
      <c r="X65" s="46"/>
      <c r="Y65" s="153"/>
    </row>
    <row r="66" spans="1:25" ht="12.75">
      <c r="A66" s="173"/>
      <c r="B66"/>
      <c r="C66" s="173"/>
      <c r="D66" s="157"/>
      <c r="E66" s="157"/>
      <c r="F66" s="156" t="s">
        <v>175</v>
      </c>
      <c r="G66" s="156"/>
      <c r="H66"/>
      <c r="I66" s="157"/>
      <c r="J66" s="158"/>
      <c r="K66" s="158"/>
      <c r="L66" s="157"/>
      <c r="M66" s="157"/>
      <c r="N66" s="158"/>
      <c r="O66" s="158"/>
      <c r="P66" s="156"/>
      <c r="Q66" s="156"/>
      <c r="R66" s="156"/>
      <c r="S66" s="156"/>
      <c r="T66" s="156"/>
      <c r="U66" s="156"/>
      <c r="V66" s="156"/>
      <c r="W66" s="156"/>
      <c r="X66" s="156"/>
      <c r="Y66" s="159"/>
    </row>
    <row r="67" spans="1:25" ht="12.75">
      <c r="A67" s="173"/>
      <c r="B67"/>
      <c r="C67" s="173"/>
      <c r="D67" s="157"/>
      <c r="E67" s="157"/>
      <c r="F67" s="156" t="s">
        <v>175</v>
      </c>
      <c r="G67" s="156"/>
      <c r="H67"/>
      <c r="I67" s="157"/>
      <c r="J67" s="158"/>
      <c r="K67" s="158"/>
      <c r="L67" s="157"/>
      <c r="M67" s="157"/>
      <c r="N67" s="158"/>
      <c r="O67" s="158"/>
      <c r="P67" s="156"/>
      <c r="Q67" s="156"/>
      <c r="R67" s="156"/>
      <c r="S67" s="156"/>
      <c r="T67" s="156"/>
      <c r="U67" s="156"/>
      <c r="V67" s="156"/>
      <c r="W67" s="156"/>
      <c r="X67" s="156"/>
      <c r="Y67" s="159"/>
    </row>
    <row r="68" spans="1:25" ht="12.75">
      <c r="A68" s="56"/>
      <c r="B68"/>
      <c r="C68" s="56"/>
      <c r="D68" s="47"/>
      <c r="E68" s="47"/>
      <c r="F68" s="47"/>
      <c r="G68" s="47"/>
      <c r="H68" s="46"/>
      <c r="I68" s="47"/>
      <c r="J68" s="48"/>
      <c r="K68" s="48"/>
      <c r="L68" s="47"/>
      <c r="M68" s="47"/>
      <c r="N68" s="48"/>
      <c r="O68" s="48"/>
      <c r="P68" s="46"/>
      <c r="Q68" s="46"/>
      <c r="R68" s="46"/>
      <c r="S68" s="46"/>
      <c r="T68" s="46"/>
      <c r="U68" s="46"/>
      <c r="V68" s="46"/>
      <c r="W68" s="46"/>
      <c r="X68" s="46"/>
      <c r="Y68" s="153"/>
    </row>
    <row r="69" spans="1:25" ht="12.75">
      <c r="A69" s="156" t="s">
        <v>409</v>
      </c>
      <c r="B69"/>
      <c r="C69" s="56"/>
      <c r="D69" s="47"/>
      <c r="E69" s="47"/>
      <c r="F69" s="47"/>
      <c r="G69" s="47"/>
      <c r="H69" s="46"/>
      <c r="I69" s="47"/>
      <c r="J69" s="48"/>
      <c r="K69" s="48"/>
      <c r="L69" s="47"/>
      <c r="M69" s="47"/>
      <c r="N69" s="48"/>
      <c r="O69" s="48"/>
      <c r="P69" s="46"/>
      <c r="Q69" s="46"/>
      <c r="R69" s="46"/>
      <c r="S69" s="46"/>
      <c r="T69" s="46"/>
      <c r="U69" s="46"/>
      <c r="V69" s="46"/>
      <c r="W69" s="46"/>
      <c r="X69" s="46"/>
      <c r="Y69" s="153"/>
    </row>
    <row r="70" spans="1:25" ht="12.75">
      <c r="A70" s="156" t="s">
        <v>410</v>
      </c>
      <c r="B70"/>
      <c r="C70" s="56"/>
      <c r="D70" s="47"/>
      <c r="E70" s="47"/>
      <c r="F70" s="47"/>
      <c r="G70" s="47"/>
      <c r="H70" s="47"/>
      <c r="I70" s="47"/>
      <c r="J70" s="48"/>
      <c r="K70" s="48"/>
      <c r="L70" s="47"/>
      <c r="M70" s="47"/>
      <c r="N70" s="48"/>
      <c r="O70" s="48"/>
      <c r="P70" s="46"/>
      <c r="Q70" s="46"/>
      <c r="R70" s="46"/>
      <c r="S70" s="46"/>
      <c r="T70" s="46"/>
      <c r="U70" s="46"/>
      <c r="V70" s="46"/>
      <c r="W70" s="46"/>
      <c r="X70" s="46"/>
      <c r="Y70" s="153"/>
    </row>
    <row r="71" spans="1:25" ht="12.75">
      <c r="A71" s="156" t="s">
        <v>411</v>
      </c>
      <c r="B71"/>
      <c r="C71" s="46"/>
      <c r="D71"/>
      <c r="E71" s="47"/>
      <c r="F71" s="47"/>
      <c r="G71" s="47"/>
      <c r="H71" s="47"/>
      <c r="I71" s="47"/>
      <c r="J71" s="48"/>
      <c r="K71" s="48"/>
      <c r="L71" s="47"/>
      <c r="M71" s="47"/>
      <c r="N71" s="48"/>
      <c r="O71" s="48"/>
      <c r="P71" s="46"/>
      <c r="Q71" s="46"/>
      <c r="R71" s="46"/>
      <c r="S71" s="46"/>
      <c r="T71" s="46"/>
      <c r="U71" s="46"/>
      <c r="V71" s="46"/>
      <c r="W71" s="46"/>
      <c r="X71" s="46"/>
      <c r="Y71" s="153"/>
    </row>
    <row r="72" spans="1:25" ht="12.75">
      <c r="A72" s="156" t="s">
        <v>421</v>
      </c>
      <c r="B72"/>
      <c r="C72" s="46"/>
      <c r="D72" s="47"/>
      <c r="E72" s="47"/>
      <c r="F72" s="47"/>
      <c r="G72" s="47"/>
      <c r="H72" s="47"/>
      <c r="I72" s="47"/>
      <c r="J72" s="48"/>
      <c r="K72" s="48"/>
      <c r="L72" s="47"/>
      <c r="M72" s="47"/>
      <c r="N72" s="48"/>
      <c r="O72" s="48"/>
      <c r="P72" s="46"/>
      <c r="Q72" s="46"/>
      <c r="R72" s="46"/>
      <c r="S72" s="46"/>
      <c r="T72" s="46"/>
      <c r="U72" s="46"/>
      <c r="V72" s="46"/>
      <c r="W72" s="46"/>
      <c r="X72" s="46"/>
      <c r="Y72" s="153"/>
    </row>
    <row r="73" spans="1:25" ht="13.5">
      <c r="A73" s="45"/>
      <c r="B73" s="46"/>
      <c r="C73" s="46"/>
      <c r="D73" s="47"/>
      <c r="E73" s="47"/>
      <c r="F73" s="47"/>
      <c r="G73" s="47"/>
      <c r="H73" s="47"/>
      <c r="I73" s="47"/>
      <c r="J73" s="48"/>
      <c r="K73" s="48"/>
      <c r="L73" s="47"/>
      <c r="M73" s="47"/>
      <c r="N73" s="48"/>
      <c r="O73" s="48"/>
      <c r="P73" s="46"/>
      <c r="Q73" s="46"/>
      <c r="R73" s="46"/>
      <c r="S73" s="46"/>
      <c r="T73" s="46"/>
      <c r="U73" s="46"/>
      <c r="V73" s="46"/>
      <c r="W73" s="46"/>
      <c r="X73" s="46"/>
      <c r="Y73" s="153"/>
    </row>
    <row r="74" spans="1:25" ht="13.5">
      <c r="A74" s="45"/>
      <c r="B74" s="46"/>
      <c r="C74" s="46"/>
      <c r="D74" s="47"/>
      <c r="E74" s="47"/>
      <c r="F74" s="47"/>
      <c r="G74" s="47"/>
      <c r="H74" s="47"/>
      <c r="I74" s="47"/>
      <c r="J74" s="48"/>
      <c r="K74" s="48"/>
      <c r="L74" s="47"/>
      <c r="M74" s="47"/>
      <c r="N74" s="48"/>
      <c r="O74" s="48"/>
      <c r="P74" s="46"/>
      <c r="Q74" s="46"/>
      <c r="R74" s="46"/>
      <c r="S74" s="46"/>
      <c r="T74" s="46"/>
      <c r="U74" s="46"/>
      <c r="V74" s="46"/>
      <c r="W74" s="46"/>
      <c r="X74" s="46"/>
      <c r="Y74" s="153"/>
    </row>
  </sheetData>
  <sheetProtection/>
  <printOptions/>
  <pageMargins left="0.4724409448818898" right="0.2755905511811024" top="0.3937007874015748" bottom="0.3937007874015748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8"/>
  <sheetViews>
    <sheetView zoomScalePageLayoutView="0" workbookViewId="0" topLeftCell="AS950">
      <selection activeCell="A1" sqref="A1:AS974"/>
    </sheetView>
  </sheetViews>
  <sheetFormatPr defaultColWidth="9.00390625" defaultRowHeight="12.75"/>
  <cols>
    <col min="1" max="1" width="3.00390625" style="46" customWidth="1"/>
    <col min="2" max="2" width="19.125" style="46" customWidth="1"/>
    <col min="3" max="3" width="4.375" style="46" customWidth="1"/>
    <col min="4" max="4" width="6.875" style="47" customWidth="1"/>
    <col min="5" max="5" width="1.625" style="47" customWidth="1"/>
    <col min="6" max="6" width="7.125" style="47" customWidth="1"/>
    <col min="7" max="9" width="6.875" style="47" customWidth="1"/>
    <col min="10" max="10" width="7.125" style="48" customWidth="1"/>
    <col min="11" max="11" width="1.625" style="48" customWidth="1"/>
    <col min="12" max="13" width="6.875" style="47" customWidth="1"/>
    <col min="14" max="14" width="6.875" style="48" customWidth="1"/>
    <col min="15" max="15" width="1.625" style="46" customWidth="1"/>
    <col min="16" max="16" width="6.875" style="46" customWidth="1"/>
    <col min="17" max="17" width="7.125" style="46" customWidth="1"/>
    <col min="18" max="18" width="1.625" style="46" customWidth="1"/>
    <col min="19" max="20" width="6.875" style="46" customWidth="1"/>
    <col min="21" max="21" width="1.625" style="46" customWidth="1"/>
    <col min="22" max="22" width="7.125" style="46" customWidth="1"/>
    <col min="23" max="23" width="6.625" style="46" customWidth="1"/>
    <col min="24" max="24" width="7.125" style="46" customWidth="1"/>
    <col min="25" max="25" width="7.125" style="153" customWidth="1"/>
    <col min="26" max="26" width="7.125" style="46" customWidth="1"/>
    <col min="27" max="16384" width="9.00390625" style="46" customWidth="1"/>
  </cols>
  <sheetData>
    <row r="1" spans="1:23" ht="13.5">
      <c r="A1" s="58"/>
      <c r="B1" s="59"/>
      <c r="C1" s="59"/>
      <c r="D1" s="60"/>
      <c r="E1" s="60"/>
      <c r="F1" s="60"/>
      <c r="G1" s="60"/>
      <c r="H1" s="60"/>
      <c r="I1" s="60"/>
      <c r="J1" s="61"/>
      <c r="K1" s="61"/>
      <c r="L1" s="60"/>
      <c r="M1" s="60"/>
      <c r="N1" s="61"/>
      <c r="O1" s="59"/>
      <c r="P1" s="59"/>
      <c r="Q1" s="59"/>
      <c r="R1" s="59"/>
      <c r="S1" s="59"/>
      <c r="T1" s="59"/>
      <c r="U1" s="59"/>
      <c r="V1" s="59"/>
      <c r="W1" s="59"/>
    </row>
    <row r="2" spans="1:23" ht="15.75">
      <c r="A2" s="174" t="s">
        <v>422</v>
      </c>
      <c r="B2" s="175"/>
      <c r="C2" s="175"/>
      <c r="D2" s="176"/>
      <c r="E2" s="176"/>
      <c r="F2" s="175"/>
      <c r="G2" s="175"/>
      <c r="H2" s="177"/>
      <c r="I2" s="176"/>
      <c r="J2" s="178"/>
      <c r="K2" s="178"/>
      <c r="L2" s="176"/>
      <c r="M2" s="176"/>
      <c r="N2" s="178"/>
      <c r="O2" s="175"/>
      <c r="P2" s="175"/>
      <c r="Q2" s="175"/>
      <c r="R2" s="175"/>
      <c r="S2" s="175"/>
      <c r="T2" s="175"/>
      <c r="U2" s="175"/>
      <c r="V2" s="175"/>
      <c r="W2" s="59"/>
    </row>
    <row r="3" spans="1:23" ht="15.75">
      <c r="A3" s="174" t="s">
        <v>423</v>
      </c>
      <c r="B3" s="175"/>
      <c r="C3" s="175"/>
      <c r="D3" s="176"/>
      <c r="E3" s="176"/>
      <c r="F3" s="175"/>
      <c r="G3" s="175"/>
      <c r="H3" s="177"/>
      <c r="I3" s="176"/>
      <c r="J3" s="178"/>
      <c r="K3" s="178"/>
      <c r="L3" s="176"/>
      <c r="M3" s="176"/>
      <c r="N3" s="178"/>
      <c r="O3" s="175"/>
      <c r="P3" s="175"/>
      <c r="Q3" s="175"/>
      <c r="R3" s="175"/>
      <c r="S3" s="175"/>
      <c r="T3" s="175"/>
      <c r="U3" s="175"/>
      <c r="V3" s="175"/>
      <c r="W3" s="59"/>
    </row>
    <row r="4" spans="1:23" ht="15.75">
      <c r="A4" s="174"/>
      <c r="B4" s="175"/>
      <c r="C4" s="175"/>
      <c r="D4" s="176"/>
      <c r="E4" s="176"/>
      <c r="F4" s="175"/>
      <c r="G4" s="175"/>
      <c r="H4" s="177"/>
      <c r="I4" s="176"/>
      <c r="J4" s="178"/>
      <c r="K4" s="178"/>
      <c r="L4" s="176"/>
      <c r="M4" s="176"/>
      <c r="N4" s="178"/>
      <c r="O4" s="175"/>
      <c r="P4" s="175"/>
      <c r="Q4" s="175"/>
      <c r="R4" s="175"/>
      <c r="S4" s="175"/>
      <c r="T4" s="175"/>
      <c r="U4" s="175"/>
      <c r="V4" s="175"/>
      <c r="W4" s="59"/>
    </row>
    <row r="5" spans="1:23" ht="12.75">
      <c r="A5" s="59"/>
      <c r="B5" s="59"/>
      <c r="C5" s="59"/>
      <c r="D5" s="60"/>
      <c r="E5" s="60"/>
      <c r="F5" s="204" t="s">
        <v>354</v>
      </c>
      <c r="G5" s="198"/>
      <c r="H5" s="198"/>
      <c r="I5" s="198"/>
      <c r="J5" s="199"/>
      <c r="L5" s="200" t="s">
        <v>355</v>
      </c>
      <c r="M5" s="201"/>
      <c r="N5" s="199"/>
      <c r="O5" s="48"/>
      <c r="P5" s="202" t="s">
        <v>356</v>
      </c>
      <c r="Q5" s="203"/>
      <c r="R5" s="203"/>
      <c r="S5" s="203"/>
      <c r="T5" s="203"/>
      <c r="U5" s="59"/>
      <c r="V5" s="59"/>
      <c r="W5" s="59"/>
    </row>
    <row r="6" spans="1:25" ht="12.75">
      <c r="A6" s="28"/>
      <c r="B6" s="31" t="s">
        <v>424</v>
      </c>
      <c r="C6" s="28"/>
      <c r="D6" s="32" t="s">
        <v>358</v>
      </c>
      <c r="E6" s="32"/>
      <c r="F6" s="33" t="s">
        <v>358</v>
      </c>
      <c r="G6" s="62" t="s">
        <v>358</v>
      </c>
      <c r="H6" s="62" t="s">
        <v>359</v>
      </c>
      <c r="I6" s="62" t="s">
        <v>360</v>
      </c>
      <c r="J6" s="147" t="s">
        <v>361</v>
      </c>
      <c r="K6" s="34"/>
      <c r="L6" s="33" t="s">
        <v>362</v>
      </c>
      <c r="M6" s="66" t="s">
        <v>360</v>
      </c>
      <c r="N6" s="147" t="s">
        <v>361</v>
      </c>
      <c r="O6" s="34"/>
      <c r="P6" s="62" t="s">
        <v>360</v>
      </c>
      <c r="Q6" s="147" t="s">
        <v>361</v>
      </c>
      <c r="R6" s="147"/>
      <c r="S6" s="66" t="s">
        <v>360</v>
      </c>
      <c r="T6" s="147" t="s">
        <v>361</v>
      </c>
      <c r="U6" s="63"/>
      <c r="V6" s="32" t="s">
        <v>363</v>
      </c>
      <c r="W6"/>
      <c r="X6" s="28"/>
      <c r="Y6" s="32" t="s">
        <v>364</v>
      </c>
    </row>
    <row r="7" spans="1:26" ht="12.75">
      <c r="A7" s="28"/>
      <c r="B7" s="206" t="s">
        <v>365</v>
      </c>
      <c r="C7" s="28"/>
      <c r="D7" s="32" t="s">
        <v>366</v>
      </c>
      <c r="E7" s="32"/>
      <c r="F7" s="33" t="s">
        <v>367</v>
      </c>
      <c r="G7" s="65" t="s">
        <v>368</v>
      </c>
      <c r="H7" s="62" t="s">
        <v>369</v>
      </c>
      <c r="I7" s="62" t="s">
        <v>370</v>
      </c>
      <c r="J7" s="34" t="s">
        <v>370</v>
      </c>
      <c r="K7" s="34"/>
      <c r="L7" s="33" t="s">
        <v>369</v>
      </c>
      <c r="M7" s="62" t="s">
        <v>371</v>
      </c>
      <c r="N7" s="34" t="s">
        <v>372</v>
      </c>
      <c r="O7" s="34"/>
      <c r="P7" s="62" t="s">
        <v>370</v>
      </c>
      <c r="Q7" s="34" t="s">
        <v>370</v>
      </c>
      <c r="R7" s="34"/>
      <c r="S7" s="62" t="s">
        <v>371</v>
      </c>
      <c r="T7" s="34" t="s">
        <v>372</v>
      </c>
      <c r="U7" s="63"/>
      <c r="V7" s="32" t="s">
        <v>373</v>
      </c>
      <c r="W7"/>
      <c r="X7" s="28"/>
      <c r="Y7" s="32" t="s">
        <v>374</v>
      </c>
      <c r="Z7" s="51" t="s">
        <v>375</v>
      </c>
    </row>
    <row r="8" spans="1:26" ht="12.75">
      <c r="A8" s="28"/>
      <c r="B8"/>
      <c r="C8" s="28"/>
      <c r="D8" s="32">
        <v>1997</v>
      </c>
      <c r="E8" s="32"/>
      <c r="F8" s="33" t="s">
        <v>376</v>
      </c>
      <c r="G8" s="62" t="s">
        <v>377</v>
      </c>
      <c r="H8" s="62" t="s">
        <v>378</v>
      </c>
      <c r="I8" s="62" t="s">
        <v>379</v>
      </c>
      <c r="J8" s="34" t="s">
        <v>379</v>
      </c>
      <c r="K8" s="149"/>
      <c r="L8" s="33" t="s">
        <v>378</v>
      </c>
      <c r="M8" s="62" t="s">
        <v>379</v>
      </c>
      <c r="N8" s="34" t="s">
        <v>379</v>
      </c>
      <c r="O8" s="34"/>
      <c r="P8" s="62" t="s">
        <v>379</v>
      </c>
      <c r="Q8" s="34" t="s">
        <v>379</v>
      </c>
      <c r="R8" s="148"/>
      <c r="S8" s="62" t="s">
        <v>379</v>
      </c>
      <c r="T8" s="34" t="s">
        <v>379</v>
      </c>
      <c r="U8" s="63"/>
      <c r="V8" s="32" t="s">
        <v>380</v>
      </c>
      <c r="W8" s="32" t="s">
        <v>381</v>
      </c>
      <c r="X8" s="52" t="s">
        <v>375</v>
      </c>
      <c r="Y8" s="32" t="s">
        <v>382</v>
      </c>
      <c r="Z8" s="51" t="s">
        <v>383</v>
      </c>
    </row>
    <row r="9" spans="1:26" ht="12.75">
      <c r="A9" s="35" t="s">
        <v>384</v>
      </c>
      <c r="B9"/>
      <c r="C9" s="32" t="s">
        <v>385</v>
      </c>
      <c r="D9" s="36" t="s">
        <v>386</v>
      </c>
      <c r="E9" s="36"/>
      <c r="F9" s="37" t="s">
        <v>386</v>
      </c>
      <c r="G9" s="67" t="s">
        <v>386</v>
      </c>
      <c r="H9" s="67" t="s">
        <v>386</v>
      </c>
      <c r="I9" s="67" t="s">
        <v>386</v>
      </c>
      <c r="J9" s="38" t="s">
        <v>224</v>
      </c>
      <c r="K9" s="38"/>
      <c r="L9" s="37" t="s">
        <v>386</v>
      </c>
      <c r="M9" s="67" t="s">
        <v>386</v>
      </c>
      <c r="N9" s="38" t="s">
        <v>224</v>
      </c>
      <c r="O9" s="38"/>
      <c r="P9" s="67" t="s">
        <v>386</v>
      </c>
      <c r="Q9" s="38" t="s">
        <v>224</v>
      </c>
      <c r="R9" s="38"/>
      <c r="S9" s="67" t="s">
        <v>386</v>
      </c>
      <c r="T9" s="68" t="s">
        <v>224</v>
      </c>
      <c r="U9" s="68"/>
      <c r="V9" s="32" t="s">
        <v>387</v>
      </c>
      <c r="W9" s="32" t="s">
        <v>377</v>
      </c>
      <c r="X9" s="52" t="s">
        <v>383</v>
      </c>
      <c r="Y9" s="32" t="s">
        <v>379</v>
      </c>
      <c r="Z9" s="51" t="s">
        <v>388</v>
      </c>
    </row>
    <row r="10" spans="1:26" ht="12.75">
      <c r="A10" s="28"/>
      <c r="B10" s="35" t="s">
        <v>425</v>
      </c>
      <c r="C10" s="28"/>
      <c r="D10" s="39" t="s">
        <v>390</v>
      </c>
      <c r="E10" s="39"/>
      <c r="F10" s="40" t="s">
        <v>111</v>
      </c>
      <c r="G10" s="193" t="s">
        <v>112</v>
      </c>
      <c r="H10" s="193" t="s">
        <v>113</v>
      </c>
      <c r="I10" s="193" t="s">
        <v>114</v>
      </c>
      <c r="J10" s="150" t="s">
        <v>115</v>
      </c>
      <c r="K10" s="150"/>
      <c r="L10" s="151" t="s">
        <v>116</v>
      </c>
      <c r="M10" s="154" t="s">
        <v>117</v>
      </c>
      <c r="N10" s="150" t="s">
        <v>391</v>
      </c>
      <c r="O10" s="150"/>
      <c r="P10" s="155" t="s">
        <v>392</v>
      </c>
      <c r="Q10" s="155" t="s">
        <v>393</v>
      </c>
      <c r="R10" s="59"/>
      <c r="S10" s="155" t="s">
        <v>119</v>
      </c>
      <c r="T10" s="155" t="s">
        <v>120</v>
      </c>
      <c r="U10" s="155"/>
      <c r="V10" s="152" t="s">
        <v>121</v>
      </c>
      <c r="W10" s="152" t="s">
        <v>122</v>
      </c>
      <c r="X10" s="152" t="s">
        <v>123</v>
      </c>
      <c r="Y10" s="152" t="s">
        <v>124</v>
      </c>
      <c r="Z10" s="152" t="s">
        <v>125</v>
      </c>
    </row>
    <row r="11" spans="1:23" ht="12" customHeight="1">
      <c r="A11" s="59"/>
      <c r="B11" s="181" t="s">
        <v>414</v>
      </c>
      <c r="C11" s="57" t="s">
        <v>175</v>
      </c>
      <c r="D11" s="69"/>
      <c r="E11" s="69"/>
      <c r="F11" s="69"/>
      <c r="G11" s="69"/>
      <c r="H11" s="69"/>
      <c r="I11" s="69"/>
      <c r="J11" s="70"/>
      <c r="K11" s="70"/>
      <c r="L11" s="69"/>
      <c r="M11" s="69"/>
      <c r="N11" s="70"/>
      <c r="O11" s="59"/>
      <c r="P11" s="59"/>
      <c r="Q11" s="59"/>
      <c r="R11" s="59"/>
      <c r="S11" s="59"/>
      <c r="T11" s="59"/>
      <c r="U11" s="59"/>
      <c r="V11" s="71"/>
      <c r="W11" s="59"/>
    </row>
    <row r="12" spans="1:26" ht="12" customHeight="1">
      <c r="A12" s="56" t="s">
        <v>225</v>
      </c>
      <c r="B12" s="46" t="s">
        <v>426</v>
      </c>
      <c r="C12"/>
      <c r="D12" s="47">
        <f>'3.1. Efnah.'!B61/1000</f>
        <v>53359.497076000014</v>
      </c>
      <c r="F12" s="47">
        <v>53359</v>
      </c>
      <c r="G12" s="47">
        <f>SUM(F12)+W12</f>
        <v>92097</v>
      </c>
      <c r="H12" s="44">
        <v>96386</v>
      </c>
      <c r="I12" s="47">
        <f>SUM(G12-H12)</f>
        <v>-4289</v>
      </c>
      <c r="J12" s="30">
        <f>I12/H12</f>
        <v>-0.04449816363372274</v>
      </c>
      <c r="K12" s="30"/>
      <c r="L12" s="47">
        <v>49411</v>
      </c>
      <c r="M12" s="29">
        <f aca="true" t="shared" si="0" ref="M12:M34">F12-L12</f>
        <v>3948</v>
      </c>
      <c r="N12" s="30">
        <f>M12/L12</f>
        <v>0.07990123656675639</v>
      </c>
      <c r="O12" s="30"/>
      <c r="P12" s="29">
        <f>SUM(I12+X12)</f>
        <v>3714</v>
      </c>
      <c r="Q12" s="30">
        <f>SUM(P12/H12)</f>
        <v>0.03853256697030689</v>
      </c>
      <c r="R12" s="28"/>
      <c r="S12" s="29">
        <f>SUM(M12+X12)</f>
        <v>11951</v>
      </c>
      <c r="T12" s="30">
        <f>SUM(S12/L12)</f>
        <v>0.24186921940458603</v>
      </c>
      <c r="V12" s="46">
        <v>1997</v>
      </c>
      <c r="W12" s="46">
        <v>38738</v>
      </c>
      <c r="X12" s="46">
        <v>8003</v>
      </c>
      <c r="Y12" s="195">
        <f aca="true" t="shared" si="1" ref="Y12:Y34">SUM(W12/H12)</f>
        <v>0.40190484095200546</v>
      </c>
      <c r="Z12" s="205">
        <f>SUM(X12/F12)</f>
        <v>0.1499840701662325</v>
      </c>
    </row>
    <row r="13" spans="1:26" ht="12" customHeight="1">
      <c r="A13" s="146" t="s">
        <v>229</v>
      </c>
      <c r="B13" s="179" t="s">
        <v>463</v>
      </c>
      <c r="C13" s="73"/>
      <c r="D13" s="74">
        <f>'3.1. Efnah.'!D61/1000</f>
        <v>32885.81853700001</v>
      </c>
      <c r="E13" s="74"/>
      <c r="F13" s="60">
        <v>32886</v>
      </c>
      <c r="G13" s="47">
        <f aca="true" t="shared" si="2" ref="G13:G34">SUM(F13)+W13</f>
        <v>55850</v>
      </c>
      <c r="H13" s="44">
        <v>56407</v>
      </c>
      <c r="I13" s="47">
        <f aca="true" t="shared" si="3" ref="I13:I34">SUM(G13-H13)</f>
        <v>-557</v>
      </c>
      <c r="J13" s="30">
        <f aca="true" t="shared" si="4" ref="J13:J34">I13/H13</f>
        <v>-0.009874660946336447</v>
      </c>
      <c r="K13" s="30"/>
      <c r="L13" s="60">
        <v>32697</v>
      </c>
      <c r="M13" s="29">
        <f t="shared" si="0"/>
        <v>189</v>
      </c>
      <c r="N13" s="30">
        <f aca="true" t="shared" si="5" ref="N13:N34">M13/L13</f>
        <v>0.005780346820809248</v>
      </c>
      <c r="O13" s="30"/>
      <c r="P13" s="29">
        <f aca="true" t="shared" si="6" ref="P13:P34">SUM(I13+X13)</f>
        <v>4920</v>
      </c>
      <c r="Q13" s="30">
        <f aca="true" t="shared" si="7" ref="Q13:Q34">SUM(P13/H13)</f>
        <v>0.08722321697661638</v>
      </c>
      <c r="R13" s="28"/>
      <c r="S13" s="29">
        <f aca="true" t="shared" si="8" ref="S13:S34">SUM(M13+X13)</f>
        <v>5666</v>
      </c>
      <c r="T13" s="30">
        <f aca="true" t="shared" si="9" ref="T13:T34">SUM(S13/L13)</f>
        <v>0.17328806924182646</v>
      </c>
      <c r="U13" s="59"/>
      <c r="V13" s="46">
        <v>1997</v>
      </c>
      <c r="W13" s="59">
        <v>22964</v>
      </c>
      <c r="X13" s="46">
        <v>5477</v>
      </c>
      <c r="Y13" s="195">
        <f t="shared" si="1"/>
        <v>0.4071125924087436</v>
      </c>
      <c r="Z13" s="205">
        <f aca="true" t="shared" si="10" ref="Z13:Z34">SUM(X13/F13)</f>
        <v>0.1665450343611263</v>
      </c>
    </row>
    <row r="14" spans="1:26" ht="12" customHeight="1">
      <c r="A14" s="146" t="s">
        <v>231</v>
      </c>
      <c r="B14" s="59" t="s">
        <v>228</v>
      </c>
      <c r="C14" s="73" t="s">
        <v>175</v>
      </c>
      <c r="D14" s="60">
        <f>'3.1. Efnah.'!E61/1000</f>
        <v>28537.644837</v>
      </c>
      <c r="E14" s="60"/>
      <c r="F14" s="60">
        <v>28538</v>
      </c>
      <c r="G14" s="47">
        <f t="shared" si="2"/>
        <v>49043</v>
      </c>
      <c r="H14" s="44">
        <v>62069</v>
      </c>
      <c r="I14" s="47">
        <f t="shared" si="3"/>
        <v>-13026</v>
      </c>
      <c r="J14" s="30">
        <f t="shared" si="4"/>
        <v>-0.20986321674265737</v>
      </c>
      <c r="K14" s="30"/>
      <c r="L14" s="60">
        <v>34486</v>
      </c>
      <c r="M14" s="29">
        <f t="shared" si="0"/>
        <v>-5948</v>
      </c>
      <c r="N14" s="30">
        <f t="shared" si="5"/>
        <v>-0.17247578727599605</v>
      </c>
      <c r="O14" s="30"/>
      <c r="P14" s="29">
        <f t="shared" si="6"/>
        <v>-8245</v>
      </c>
      <c r="Q14" s="30">
        <f t="shared" si="7"/>
        <v>-0.13283603731331262</v>
      </c>
      <c r="R14" s="28"/>
      <c r="S14" s="29">
        <f t="shared" si="8"/>
        <v>-1167</v>
      </c>
      <c r="T14" s="30">
        <f t="shared" si="9"/>
        <v>-0.03383981905700864</v>
      </c>
      <c r="U14" s="59"/>
      <c r="V14" s="46">
        <v>1997</v>
      </c>
      <c r="W14" s="59">
        <v>20505</v>
      </c>
      <c r="X14" s="46">
        <v>4781</v>
      </c>
      <c r="Y14" s="195">
        <f t="shared" si="1"/>
        <v>0.3303581498010279</v>
      </c>
      <c r="Z14" s="205">
        <f t="shared" si="10"/>
        <v>0.16753101128320136</v>
      </c>
    </row>
    <row r="15" spans="1:26" ht="12" customHeight="1">
      <c r="A15" s="146" t="s">
        <v>233</v>
      </c>
      <c r="B15" s="59" t="s">
        <v>427</v>
      </c>
      <c r="C15" s="73" t="s">
        <v>175</v>
      </c>
      <c r="D15" s="74">
        <f>'3.1. Efnah.'!F61/1000</f>
        <v>27576.586468999998</v>
      </c>
      <c r="E15" s="74"/>
      <c r="F15" s="60">
        <v>27577</v>
      </c>
      <c r="G15" s="47">
        <f t="shared" si="2"/>
        <v>48888</v>
      </c>
      <c r="H15" s="44">
        <v>51456</v>
      </c>
      <c r="I15" s="47">
        <f t="shared" si="3"/>
        <v>-2568</v>
      </c>
      <c r="J15" s="30">
        <f t="shared" si="4"/>
        <v>-0.049906716417910446</v>
      </c>
      <c r="K15" s="30"/>
      <c r="L15" s="60">
        <v>26996</v>
      </c>
      <c r="M15" s="29">
        <f t="shared" si="0"/>
        <v>581</v>
      </c>
      <c r="N15" s="30">
        <f t="shared" si="5"/>
        <v>0.021521706919543637</v>
      </c>
      <c r="O15" s="30"/>
      <c r="P15" s="29">
        <f t="shared" si="6"/>
        <v>1842</v>
      </c>
      <c r="Q15" s="30">
        <f t="shared" si="7"/>
        <v>0.03579757462686567</v>
      </c>
      <c r="R15" s="28"/>
      <c r="S15" s="29">
        <f t="shared" si="8"/>
        <v>4991</v>
      </c>
      <c r="T15" s="30">
        <f t="shared" si="9"/>
        <v>0.18487924136909173</v>
      </c>
      <c r="U15" s="59"/>
      <c r="V15" s="46">
        <v>1997</v>
      </c>
      <c r="W15" s="59">
        <v>21311</v>
      </c>
      <c r="X15" s="46">
        <v>4410</v>
      </c>
      <c r="Y15" s="195">
        <f t="shared" si="1"/>
        <v>0.41415967039800994</v>
      </c>
      <c r="Z15" s="205">
        <f t="shared" si="10"/>
        <v>0.15991587192225407</v>
      </c>
    </row>
    <row r="16" spans="1:26" ht="12" customHeight="1">
      <c r="A16" s="146" t="s">
        <v>235</v>
      </c>
      <c r="B16" s="59" t="s">
        <v>428</v>
      </c>
      <c r="C16" s="73"/>
      <c r="D16" s="60">
        <f>'3.1. Efnah.'!G61/1000</f>
        <v>13200.55279</v>
      </c>
      <c r="E16" s="60"/>
      <c r="F16" s="60">
        <v>13201</v>
      </c>
      <c r="G16" s="47">
        <f t="shared" si="2"/>
        <v>18566</v>
      </c>
      <c r="H16" s="44">
        <v>15940</v>
      </c>
      <c r="I16" s="47">
        <f t="shared" si="3"/>
        <v>2626</v>
      </c>
      <c r="J16" s="30">
        <f t="shared" si="4"/>
        <v>0.16474278544542031</v>
      </c>
      <c r="K16" s="30"/>
      <c r="L16" s="60">
        <v>7852</v>
      </c>
      <c r="M16" s="29">
        <f t="shared" si="0"/>
        <v>5349</v>
      </c>
      <c r="N16" s="30">
        <f t="shared" si="5"/>
        <v>0.6812277126846663</v>
      </c>
      <c r="O16" s="30"/>
      <c r="P16" s="29">
        <f t="shared" si="6"/>
        <v>2626</v>
      </c>
      <c r="Q16" s="30">
        <f t="shared" si="7"/>
        <v>0.16474278544542031</v>
      </c>
      <c r="R16" s="28"/>
      <c r="S16" s="29">
        <f t="shared" si="8"/>
        <v>5349</v>
      </c>
      <c r="T16" s="30">
        <f t="shared" si="9"/>
        <v>0.6812277126846663</v>
      </c>
      <c r="U16" s="59"/>
      <c r="V16" s="46">
        <v>1997</v>
      </c>
      <c r="W16" s="59">
        <v>5365</v>
      </c>
      <c r="X16" s="46">
        <v>0</v>
      </c>
      <c r="Y16" s="195">
        <f t="shared" si="1"/>
        <v>0.3365746549560853</v>
      </c>
      <c r="Z16" s="205">
        <f t="shared" si="10"/>
        <v>0</v>
      </c>
    </row>
    <row r="17" spans="1:26" ht="12" customHeight="1">
      <c r="A17" s="146" t="s">
        <v>237</v>
      </c>
      <c r="B17" s="179" t="s">
        <v>429</v>
      </c>
      <c r="C17" s="73"/>
      <c r="D17" s="60">
        <f>'3.1. Efnah.'!H61/1000</f>
        <v>12830.016408</v>
      </c>
      <c r="E17" s="60"/>
      <c r="F17" s="60">
        <v>12830</v>
      </c>
      <c r="G17" s="47">
        <f t="shared" si="2"/>
        <v>23515</v>
      </c>
      <c r="H17" s="44">
        <v>23681</v>
      </c>
      <c r="I17" s="47">
        <f t="shared" si="3"/>
        <v>-166</v>
      </c>
      <c r="J17" s="30">
        <f t="shared" si="4"/>
        <v>-0.0070098391115240065</v>
      </c>
      <c r="K17" s="30"/>
      <c r="L17" s="60">
        <v>12675</v>
      </c>
      <c r="M17" s="29">
        <f t="shared" si="0"/>
        <v>155</v>
      </c>
      <c r="N17" s="30">
        <f t="shared" si="5"/>
        <v>0.01222879684418146</v>
      </c>
      <c r="O17" s="30"/>
      <c r="P17" s="29">
        <f t="shared" si="6"/>
        <v>1573</v>
      </c>
      <c r="Q17" s="30">
        <f t="shared" si="7"/>
        <v>0.0664245597736582</v>
      </c>
      <c r="R17" s="28"/>
      <c r="S17" s="29">
        <f t="shared" si="8"/>
        <v>1894</v>
      </c>
      <c r="T17" s="30">
        <f t="shared" si="9"/>
        <v>0.14942800788954635</v>
      </c>
      <c r="U17" s="59"/>
      <c r="V17" s="46">
        <v>1997</v>
      </c>
      <c r="W17" s="59">
        <v>10685</v>
      </c>
      <c r="X17" s="46">
        <v>1739</v>
      </c>
      <c r="Y17" s="195">
        <f t="shared" si="1"/>
        <v>0.4512056078712892</v>
      </c>
      <c r="Z17" s="205">
        <f t="shared" si="10"/>
        <v>0.13554169914263445</v>
      </c>
    </row>
    <row r="18" spans="1:26" ht="12" customHeight="1">
      <c r="A18" s="144" t="s">
        <v>239</v>
      </c>
      <c r="B18" s="46" t="s">
        <v>430</v>
      </c>
      <c r="C18" s="57" t="s">
        <v>175</v>
      </c>
      <c r="D18" s="47">
        <f>'3.1. Efnah.'!I61/1000</f>
        <v>11101.280954</v>
      </c>
      <c r="F18" s="47">
        <v>11101</v>
      </c>
      <c r="G18" s="47">
        <f t="shared" si="2"/>
        <v>18867</v>
      </c>
      <c r="H18" s="44">
        <v>19920</v>
      </c>
      <c r="I18" s="47">
        <f t="shared" si="3"/>
        <v>-1053</v>
      </c>
      <c r="J18" s="30">
        <f t="shared" si="4"/>
        <v>-0.05286144578313253</v>
      </c>
      <c r="K18" s="30"/>
      <c r="L18" s="47">
        <v>13620</v>
      </c>
      <c r="M18" s="29">
        <f t="shared" si="0"/>
        <v>-2519</v>
      </c>
      <c r="N18" s="30">
        <f t="shared" si="5"/>
        <v>-0.18494860499265786</v>
      </c>
      <c r="O18" s="30"/>
      <c r="P18" s="29">
        <f t="shared" si="6"/>
        <v>478</v>
      </c>
      <c r="Q18" s="30">
        <f t="shared" si="7"/>
        <v>0.02399598393574297</v>
      </c>
      <c r="R18" s="28"/>
      <c r="S18" s="29">
        <f t="shared" si="8"/>
        <v>-988</v>
      </c>
      <c r="T18" s="30">
        <f t="shared" si="9"/>
        <v>-0.07254038179148312</v>
      </c>
      <c r="V18" s="46">
        <v>1997</v>
      </c>
      <c r="W18" s="46">
        <v>7766</v>
      </c>
      <c r="X18" s="46">
        <v>1531</v>
      </c>
      <c r="Y18" s="195">
        <f t="shared" si="1"/>
        <v>0.389859437751004</v>
      </c>
      <c r="Z18" s="205">
        <f t="shared" si="10"/>
        <v>0.13791550310782813</v>
      </c>
    </row>
    <row r="19" spans="1:27" ht="12.75">
      <c r="A19" s="146" t="s">
        <v>241</v>
      </c>
      <c r="B19" s="59" t="s">
        <v>432</v>
      </c>
      <c r="C19" s="73"/>
      <c r="D19" s="60">
        <f>'3.1. Efnah.'!J61/1000</f>
        <v>10543.644677999999</v>
      </c>
      <c r="E19" s="60"/>
      <c r="F19" s="60">
        <v>10544</v>
      </c>
      <c r="G19" s="47">
        <f t="shared" si="2"/>
        <v>21275</v>
      </c>
      <c r="H19" s="44">
        <v>20981</v>
      </c>
      <c r="I19" s="47">
        <f t="shared" si="3"/>
        <v>294</v>
      </c>
      <c r="J19" s="30">
        <f t="shared" si="4"/>
        <v>0.014012678137362376</v>
      </c>
      <c r="K19" s="30"/>
      <c r="L19" s="60">
        <v>8621</v>
      </c>
      <c r="M19" s="29">
        <f t="shared" si="0"/>
        <v>1923</v>
      </c>
      <c r="N19" s="30">
        <f t="shared" si="5"/>
        <v>0.22305996984108573</v>
      </c>
      <c r="O19" s="30"/>
      <c r="P19" s="29">
        <f t="shared" si="6"/>
        <v>1634</v>
      </c>
      <c r="Q19" s="30">
        <f t="shared" si="7"/>
        <v>0.07787998665459225</v>
      </c>
      <c r="R19" s="28"/>
      <c r="S19" s="29">
        <f t="shared" si="8"/>
        <v>3263</v>
      </c>
      <c r="T19" s="30">
        <f t="shared" si="9"/>
        <v>0.3784943742025287</v>
      </c>
      <c r="U19" s="59"/>
      <c r="V19" s="46">
        <v>1997</v>
      </c>
      <c r="W19" s="59">
        <v>10731</v>
      </c>
      <c r="X19" s="46">
        <v>1340</v>
      </c>
      <c r="Y19" s="195">
        <f t="shared" si="1"/>
        <v>0.5114627520137267</v>
      </c>
      <c r="Z19" s="205">
        <f t="shared" si="10"/>
        <v>0.1270864946889226</v>
      </c>
      <c r="AA19" s="145"/>
    </row>
    <row r="20" spans="1:26" ht="12.75">
      <c r="A20" s="146" t="s">
        <v>243</v>
      </c>
      <c r="B20" s="179" t="s">
        <v>586</v>
      </c>
      <c r="C20" s="73" t="s">
        <v>230</v>
      </c>
      <c r="D20" s="60">
        <f>'3.1. Efnah.'!K61/1000</f>
        <v>9949.202255999997</v>
      </c>
      <c r="E20" s="60"/>
      <c r="F20" s="60">
        <v>9949</v>
      </c>
      <c r="G20" s="47">
        <f t="shared" si="2"/>
        <v>19225</v>
      </c>
      <c r="H20" s="44">
        <v>20456</v>
      </c>
      <c r="I20" s="47">
        <f t="shared" si="3"/>
        <v>-1231</v>
      </c>
      <c r="J20" s="30">
        <f t="shared" si="4"/>
        <v>-0.06017794290183809</v>
      </c>
      <c r="K20" s="30"/>
      <c r="L20" s="60">
        <v>8028</v>
      </c>
      <c r="M20" s="29">
        <f t="shared" si="0"/>
        <v>1921</v>
      </c>
      <c r="N20" s="30">
        <f t="shared" si="5"/>
        <v>0.2392874937717987</v>
      </c>
      <c r="O20" s="30"/>
      <c r="P20" s="29">
        <f t="shared" si="6"/>
        <v>874</v>
      </c>
      <c r="Q20" s="30">
        <f t="shared" si="7"/>
        <v>0.04272585060617912</v>
      </c>
      <c r="R20" s="28"/>
      <c r="S20" s="29">
        <f t="shared" si="8"/>
        <v>4026</v>
      </c>
      <c r="T20" s="30">
        <f t="shared" si="9"/>
        <v>0.5014947683109118</v>
      </c>
      <c r="U20" s="59"/>
      <c r="V20" s="46">
        <v>1997</v>
      </c>
      <c r="W20" s="59">
        <v>9276</v>
      </c>
      <c r="X20" s="46">
        <v>2105</v>
      </c>
      <c r="Y20" s="195">
        <f t="shared" si="1"/>
        <v>0.4534610872115761</v>
      </c>
      <c r="Z20" s="205">
        <f t="shared" si="10"/>
        <v>0.21157905317117298</v>
      </c>
    </row>
    <row r="21" spans="1:27" ht="12" customHeight="1">
      <c r="A21" s="146" t="s">
        <v>245</v>
      </c>
      <c r="B21" s="59" t="s">
        <v>431</v>
      </c>
      <c r="C21" s="73" t="s">
        <v>230</v>
      </c>
      <c r="D21" s="60">
        <f>'3.1. Efnah.'!L61/1000</f>
        <v>9062.759103</v>
      </c>
      <c r="E21" s="60"/>
      <c r="F21" s="60">
        <v>9063</v>
      </c>
      <c r="G21" s="47">
        <f t="shared" si="2"/>
        <v>13309</v>
      </c>
      <c r="H21" s="44">
        <v>14568</v>
      </c>
      <c r="I21" s="47">
        <f t="shared" si="3"/>
        <v>-1259</v>
      </c>
      <c r="J21" s="30">
        <f t="shared" si="4"/>
        <v>-0.0864222954420648</v>
      </c>
      <c r="K21" s="30"/>
      <c r="L21" s="60">
        <v>10080</v>
      </c>
      <c r="M21" s="29">
        <f t="shared" si="0"/>
        <v>-1017</v>
      </c>
      <c r="N21" s="30">
        <f t="shared" si="5"/>
        <v>-0.10089285714285715</v>
      </c>
      <c r="O21" s="30"/>
      <c r="P21" s="29">
        <f t="shared" si="6"/>
        <v>-9</v>
      </c>
      <c r="Q21" s="30">
        <f t="shared" si="7"/>
        <v>-0.0006177924217462932</v>
      </c>
      <c r="R21" s="28"/>
      <c r="S21" s="29">
        <f t="shared" si="8"/>
        <v>233</v>
      </c>
      <c r="T21" s="30">
        <f t="shared" si="9"/>
        <v>0.023115079365079366</v>
      </c>
      <c r="U21" s="59"/>
      <c r="V21" s="46">
        <v>1997</v>
      </c>
      <c r="W21" s="59">
        <v>4246</v>
      </c>
      <c r="X21" s="46">
        <v>1250</v>
      </c>
      <c r="Y21" s="195">
        <f t="shared" si="1"/>
        <v>0.2914607358594179</v>
      </c>
      <c r="Z21" s="205">
        <f t="shared" si="10"/>
        <v>0.13792342491448747</v>
      </c>
      <c r="AA21" s="145"/>
    </row>
    <row r="22" spans="1:26" ht="12.75">
      <c r="A22" s="146" t="s">
        <v>247</v>
      </c>
      <c r="B22" s="59" t="s">
        <v>433</v>
      </c>
      <c r="C22" s="73"/>
      <c r="D22" s="60">
        <f>'3.1. Efnah.'!M61/1000</f>
        <v>8649.231378</v>
      </c>
      <c r="E22" s="60"/>
      <c r="F22" s="60">
        <v>8649</v>
      </c>
      <c r="G22" s="47">
        <f t="shared" si="2"/>
        <v>14955</v>
      </c>
      <c r="H22" s="44">
        <v>14435</v>
      </c>
      <c r="I22" s="47">
        <f t="shared" si="3"/>
        <v>520</v>
      </c>
      <c r="J22" s="30">
        <f t="shared" si="4"/>
        <v>0.03602355386214063</v>
      </c>
      <c r="K22" s="30"/>
      <c r="L22" s="60">
        <v>7350</v>
      </c>
      <c r="M22" s="29">
        <f t="shared" si="0"/>
        <v>1299</v>
      </c>
      <c r="N22" s="30">
        <f t="shared" si="5"/>
        <v>0.17673469387755103</v>
      </c>
      <c r="O22" s="30"/>
      <c r="P22" s="29">
        <f t="shared" si="6"/>
        <v>1681</v>
      </c>
      <c r="Q22" s="30">
        <f t="shared" si="7"/>
        <v>0.11645306546588154</v>
      </c>
      <c r="R22" s="28"/>
      <c r="S22" s="29">
        <f t="shared" si="8"/>
        <v>2460</v>
      </c>
      <c r="T22" s="30">
        <f t="shared" si="9"/>
        <v>0.3346938775510204</v>
      </c>
      <c r="U22" s="59"/>
      <c r="V22" s="46">
        <v>1997</v>
      </c>
      <c r="W22" s="59">
        <v>6306</v>
      </c>
      <c r="X22" s="46">
        <v>1161</v>
      </c>
      <c r="Y22" s="195">
        <f t="shared" si="1"/>
        <v>0.43685486664357465</v>
      </c>
      <c r="Z22" s="205">
        <f t="shared" si="10"/>
        <v>0.13423517169614985</v>
      </c>
    </row>
    <row r="23" spans="1:26" ht="12.75">
      <c r="A23" s="144" t="s">
        <v>248</v>
      </c>
      <c r="B23" s="46" t="s">
        <v>435</v>
      </c>
      <c r="C23" s="73" t="s">
        <v>230</v>
      </c>
      <c r="D23" s="47">
        <f>'3.1. Efnah.'!N61/1000</f>
        <v>7651.760455999999</v>
      </c>
      <c r="F23" s="47">
        <v>7652</v>
      </c>
      <c r="G23" s="47">
        <f t="shared" si="2"/>
        <v>13109</v>
      </c>
      <c r="H23" s="44">
        <v>12912</v>
      </c>
      <c r="I23" s="47">
        <f t="shared" si="3"/>
        <v>197</v>
      </c>
      <c r="J23" s="30">
        <f t="shared" si="4"/>
        <v>0.015257125154894672</v>
      </c>
      <c r="K23" s="30"/>
      <c r="L23" s="47">
        <v>6143</v>
      </c>
      <c r="M23" s="29">
        <f t="shared" si="0"/>
        <v>1509</v>
      </c>
      <c r="N23" s="30">
        <f t="shared" si="5"/>
        <v>0.24564545010581149</v>
      </c>
      <c r="O23" s="30"/>
      <c r="P23" s="29">
        <f t="shared" si="6"/>
        <v>859</v>
      </c>
      <c r="Q23" s="30">
        <f t="shared" si="7"/>
        <v>0.0665272614622057</v>
      </c>
      <c r="R23" s="28"/>
      <c r="S23" s="29">
        <f t="shared" si="8"/>
        <v>2171</v>
      </c>
      <c r="T23" s="30">
        <f t="shared" si="9"/>
        <v>0.3534103858049813</v>
      </c>
      <c r="V23" s="46">
        <v>1997</v>
      </c>
      <c r="W23" s="46">
        <v>5457</v>
      </c>
      <c r="X23" s="46">
        <v>662</v>
      </c>
      <c r="Y23" s="195">
        <f t="shared" si="1"/>
        <v>0.4226301115241636</v>
      </c>
      <c r="Z23" s="205">
        <f t="shared" si="10"/>
        <v>0.08651332984840565</v>
      </c>
    </row>
    <row r="24" spans="1:26" ht="12.75">
      <c r="A24" s="146" t="s">
        <v>249</v>
      </c>
      <c r="B24" s="59" t="s">
        <v>434</v>
      </c>
      <c r="C24" s="73"/>
      <c r="D24" s="60">
        <f>'3.1. Efnah.'!O61/1000</f>
        <v>7227.714100999999</v>
      </c>
      <c r="E24" s="60"/>
      <c r="F24" s="60">
        <v>7228</v>
      </c>
      <c r="G24" s="47">
        <f t="shared" si="2"/>
        <v>13400</v>
      </c>
      <c r="H24" s="44">
        <v>13494</v>
      </c>
      <c r="I24" s="47">
        <f t="shared" si="3"/>
        <v>-94</v>
      </c>
      <c r="J24" s="30">
        <f t="shared" si="4"/>
        <v>-0.006966058989180376</v>
      </c>
      <c r="K24" s="30"/>
      <c r="L24" s="60">
        <v>7162</v>
      </c>
      <c r="M24" s="29">
        <f t="shared" si="0"/>
        <v>66</v>
      </c>
      <c r="N24" s="30">
        <f t="shared" si="5"/>
        <v>0.009215302987992181</v>
      </c>
      <c r="O24" s="30"/>
      <c r="P24" s="29">
        <f t="shared" si="6"/>
        <v>1069</v>
      </c>
      <c r="Q24" s="30">
        <f t="shared" si="7"/>
        <v>0.07922039424929599</v>
      </c>
      <c r="R24" s="28"/>
      <c r="S24" s="29">
        <f t="shared" si="8"/>
        <v>1229</v>
      </c>
      <c r="T24" s="30">
        <f t="shared" si="9"/>
        <v>0.17160011170064227</v>
      </c>
      <c r="U24" s="59"/>
      <c r="V24" s="46">
        <v>1997</v>
      </c>
      <c r="W24" s="59">
        <v>6172</v>
      </c>
      <c r="X24" s="46">
        <v>1163</v>
      </c>
      <c r="Y24" s="195">
        <f t="shared" si="1"/>
        <v>0.4573884689491626</v>
      </c>
      <c r="Z24" s="205">
        <f t="shared" si="10"/>
        <v>0.16090204759269508</v>
      </c>
    </row>
    <row r="25" spans="1:26" ht="12.75">
      <c r="A25" s="146" t="s">
        <v>253</v>
      </c>
      <c r="B25" s="179" t="s">
        <v>635</v>
      </c>
      <c r="C25" s="73"/>
      <c r="D25" s="60">
        <f>'3.1. Efnah.'!Q61/1000</f>
        <v>6937.468118</v>
      </c>
      <c r="E25" s="60"/>
      <c r="F25" s="60">
        <v>6937</v>
      </c>
      <c r="G25" s="47">
        <f t="shared" si="2"/>
        <v>12447</v>
      </c>
      <c r="H25" s="44">
        <v>12993</v>
      </c>
      <c r="I25" s="47">
        <f t="shared" si="3"/>
        <v>-546</v>
      </c>
      <c r="J25" s="30">
        <f t="shared" si="4"/>
        <v>-0.04202262756869083</v>
      </c>
      <c r="K25" s="30"/>
      <c r="L25" s="60">
        <v>6465</v>
      </c>
      <c r="M25" s="29">
        <f t="shared" si="0"/>
        <v>472</v>
      </c>
      <c r="N25" s="30">
        <f t="shared" si="5"/>
        <v>0.07300850734725445</v>
      </c>
      <c r="O25" s="30"/>
      <c r="P25" s="29">
        <f t="shared" si="6"/>
        <v>347</v>
      </c>
      <c r="Q25" s="30">
        <f t="shared" si="7"/>
        <v>0.026706688216732086</v>
      </c>
      <c r="R25" s="28"/>
      <c r="S25" s="29">
        <f t="shared" si="8"/>
        <v>1365</v>
      </c>
      <c r="T25" s="30">
        <f t="shared" si="9"/>
        <v>0.2111368909512761</v>
      </c>
      <c r="U25" s="59"/>
      <c r="V25" s="46">
        <v>1997</v>
      </c>
      <c r="W25" s="59">
        <v>5510</v>
      </c>
      <c r="X25" s="46">
        <v>893</v>
      </c>
      <c r="Y25" s="195">
        <f t="shared" si="1"/>
        <v>0.42407450165473715</v>
      </c>
      <c r="Z25" s="205">
        <f t="shared" si="10"/>
        <v>0.12872999855845466</v>
      </c>
    </row>
    <row r="26" spans="1:26" ht="12.75">
      <c r="A26" s="146" t="s">
        <v>254</v>
      </c>
      <c r="B26" s="59" t="s">
        <v>436</v>
      </c>
      <c r="C26" s="73" t="s">
        <v>230</v>
      </c>
      <c r="D26" s="60">
        <f>'3.1. Efnah.'!R61/1000</f>
        <v>6093.837629</v>
      </c>
      <c r="E26" s="60"/>
      <c r="F26" s="60">
        <v>6047</v>
      </c>
      <c r="G26" s="47">
        <f t="shared" si="2"/>
        <v>11934</v>
      </c>
      <c r="H26" s="185">
        <v>11427</v>
      </c>
      <c r="I26" s="47">
        <f t="shared" si="3"/>
        <v>507</v>
      </c>
      <c r="J26" s="30">
        <f t="shared" si="4"/>
        <v>0.04436860068259386</v>
      </c>
      <c r="K26" s="161"/>
      <c r="L26" s="60">
        <v>5544</v>
      </c>
      <c r="M26" s="29">
        <f t="shared" si="0"/>
        <v>503</v>
      </c>
      <c r="N26" s="30">
        <f t="shared" si="5"/>
        <v>0.09072871572871573</v>
      </c>
      <c r="O26" s="30"/>
      <c r="P26" s="29">
        <f t="shared" si="6"/>
        <v>696</v>
      </c>
      <c r="Q26" s="30">
        <f t="shared" si="7"/>
        <v>0.06090837490154896</v>
      </c>
      <c r="R26" s="28"/>
      <c r="S26" s="29">
        <f t="shared" si="8"/>
        <v>692</v>
      </c>
      <c r="T26" s="30">
        <f t="shared" si="9"/>
        <v>0.12481962481962482</v>
      </c>
      <c r="U26" s="59"/>
      <c r="V26" s="46">
        <v>1997</v>
      </c>
      <c r="W26" s="59">
        <v>5887</v>
      </c>
      <c r="X26" s="46">
        <v>189</v>
      </c>
      <c r="Y26" s="195">
        <f t="shared" si="1"/>
        <v>0.515183337708935</v>
      </c>
      <c r="Z26" s="205">
        <f t="shared" si="10"/>
        <v>0.03125516785182735</v>
      </c>
    </row>
    <row r="27" spans="1:26" ht="12.75">
      <c r="A27" s="146" t="s">
        <v>255</v>
      </c>
      <c r="B27" s="59" t="s">
        <v>437</v>
      </c>
      <c r="C27" s="73" t="s">
        <v>175</v>
      </c>
      <c r="D27" s="60">
        <f>'3.1. Efnah.'!S61/1000</f>
        <v>4922.047122000001</v>
      </c>
      <c r="E27" s="60"/>
      <c r="F27" s="60">
        <v>4922</v>
      </c>
      <c r="G27" s="47">
        <f t="shared" si="2"/>
        <v>9560</v>
      </c>
      <c r="H27" s="44">
        <v>10054</v>
      </c>
      <c r="I27" s="47">
        <f t="shared" si="3"/>
        <v>-494</v>
      </c>
      <c r="J27" s="30">
        <f t="shared" si="4"/>
        <v>-0.04913467276705789</v>
      </c>
      <c r="K27" s="30"/>
      <c r="L27" s="60">
        <v>5311</v>
      </c>
      <c r="M27" s="29">
        <f t="shared" si="0"/>
        <v>-389</v>
      </c>
      <c r="N27" s="30">
        <f t="shared" si="5"/>
        <v>-0.07324421012991904</v>
      </c>
      <c r="O27" s="30"/>
      <c r="P27" s="29">
        <f t="shared" si="6"/>
        <v>185</v>
      </c>
      <c r="Q27" s="30">
        <f t="shared" si="7"/>
        <v>0.018400636562562165</v>
      </c>
      <c r="R27" s="28"/>
      <c r="S27" s="29">
        <f t="shared" si="8"/>
        <v>290</v>
      </c>
      <c r="T27" s="30">
        <f t="shared" si="9"/>
        <v>0.0546036527960836</v>
      </c>
      <c r="U27" s="59"/>
      <c r="V27" s="46">
        <v>1997</v>
      </c>
      <c r="W27" s="59">
        <v>4638</v>
      </c>
      <c r="X27" s="46">
        <v>679</v>
      </c>
      <c r="Y27" s="195">
        <f t="shared" si="1"/>
        <v>0.4613089317684504</v>
      </c>
      <c r="Z27" s="205">
        <f t="shared" si="10"/>
        <v>0.1379520520113775</v>
      </c>
    </row>
    <row r="28" spans="1:26" ht="12.75">
      <c r="A28" s="146" t="s">
        <v>257</v>
      </c>
      <c r="B28" s="179" t="s">
        <v>656</v>
      </c>
      <c r="C28" s="73" t="s">
        <v>230</v>
      </c>
      <c r="D28" s="60">
        <f>'3.1. Efnah.'!T61/1000</f>
        <v>4773.176729000001</v>
      </c>
      <c r="E28" s="60"/>
      <c r="F28" s="60">
        <v>3896.672</v>
      </c>
      <c r="G28" s="47">
        <f t="shared" si="2"/>
        <v>5408.6720000000005</v>
      </c>
      <c r="H28" s="44">
        <v>5197</v>
      </c>
      <c r="I28" s="47">
        <f t="shared" si="3"/>
        <v>211.67200000000048</v>
      </c>
      <c r="J28" s="30">
        <f t="shared" si="4"/>
        <v>0.040729651722147486</v>
      </c>
      <c r="K28" s="30"/>
      <c r="L28" s="60">
        <v>3427</v>
      </c>
      <c r="M28" s="29">
        <f t="shared" si="0"/>
        <v>469.672</v>
      </c>
      <c r="N28" s="30">
        <f t="shared" si="5"/>
        <v>0.13705048147067406</v>
      </c>
      <c r="O28" s="30"/>
      <c r="P28" s="29">
        <f t="shared" si="6"/>
        <v>601.6720000000005</v>
      </c>
      <c r="Q28" s="30">
        <f t="shared" si="7"/>
        <v>0.11577294593034453</v>
      </c>
      <c r="R28" s="28"/>
      <c r="S28" s="29">
        <f t="shared" si="8"/>
        <v>859.672</v>
      </c>
      <c r="T28" s="30">
        <f t="shared" si="9"/>
        <v>0.2508526407936971</v>
      </c>
      <c r="U28" s="59"/>
      <c r="V28" s="46">
        <v>1995</v>
      </c>
      <c r="W28" s="59">
        <v>1512</v>
      </c>
      <c r="X28" s="46">
        <v>390</v>
      </c>
      <c r="Y28" s="195">
        <f t="shared" si="1"/>
        <v>0.29093707908408695</v>
      </c>
      <c r="Z28" s="205">
        <f t="shared" si="10"/>
        <v>0.10008540621330202</v>
      </c>
    </row>
    <row r="29" spans="1:26" ht="12.75">
      <c r="A29" s="144" t="s">
        <v>262</v>
      </c>
      <c r="B29" s="46" t="s">
        <v>438</v>
      </c>
      <c r="C29" s="57" t="s">
        <v>175</v>
      </c>
      <c r="D29" s="47">
        <f>'3.1. Efnah.'!X61/1000</f>
        <v>3441.7939739999997</v>
      </c>
      <c r="F29" s="47">
        <v>3442</v>
      </c>
      <c r="G29" s="47">
        <f t="shared" si="2"/>
        <v>6660</v>
      </c>
      <c r="H29" s="44">
        <v>6499</v>
      </c>
      <c r="I29" s="47">
        <f t="shared" si="3"/>
        <v>161</v>
      </c>
      <c r="J29" s="30">
        <f t="shared" si="4"/>
        <v>0.024773042006462534</v>
      </c>
      <c r="K29" s="30"/>
      <c r="L29" s="47">
        <v>3169</v>
      </c>
      <c r="M29" s="29">
        <f t="shared" si="0"/>
        <v>273</v>
      </c>
      <c r="N29" s="30">
        <f t="shared" si="5"/>
        <v>0.08614704954244241</v>
      </c>
      <c r="O29" s="30"/>
      <c r="P29" s="29">
        <f t="shared" si="6"/>
        <v>468</v>
      </c>
      <c r="Q29" s="30">
        <f t="shared" si="7"/>
        <v>0.07201107862748116</v>
      </c>
      <c r="R29" s="28"/>
      <c r="S29" s="29">
        <f t="shared" si="8"/>
        <v>580</v>
      </c>
      <c r="T29" s="30">
        <f t="shared" si="9"/>
        <v>0.18302303565793626</v>
      </c>
      <c r="U29" s="59"/>
      <c r="V29" s="46">
        <v>1997</v>
      </c>
      <c r="W29" s="59">
        <v>3218</v>
      </c>
      <c r="X29" s="46">
        <v>307</v>
      </c>
      <c r="Y29" s="195">
        <f t="shared" si="1"/>
        <v>0.49515310047699646</v>
      </c>
      <c r="Z29" s="205">
        <f t="shared" si="10"/>
        <v>0.08919233004067402</v>
      </c>
    </row>
    <row r="30" spans="1:26" ht="12.75">
      <c r="A30" s="144" t="s">
        <v>269</v>
      </c>
      <c r="B30" s="46" t="s">
        <v>440</v>
      </c>
      <c r="C30" s="57"/>
      <c r="D30" s="47">
        <f>'3.1. Efnah.'!AB61/1000</f>
        <v>2367.6647989999997</v>
      </c>
      <c r="F30" s="47">
        <v>2077</v>
      </c>
      <c r="G30" s="47">
        <f t="shared" si="2"/>
        <v>4585</v>
      </c>
      <c r="H30" s="44">
        <v>5095</v>
      </c>
      <c r="I30" s="47">
        <f t="shared" si="3"/>
        <v>-510</v>
      </c>
      <c r="J30" s="30">
        <f t="shared" si="4"/>
        <v>-0.10009813542688911</v>
      </c>
      <c r="K30" s="30"/>
      <c r="L30" s="47">
        <v>2649</v>
      </c>
      <c r="M30" s="29">
        <f t="shared" si="0"/>
        <v>-572</v>
      </c>
      <c r="N30" s="30">
        <f t="shared" si="5"/>
        <v>-0.21593053982634958</v>
      </c>
      <c r="O30" s="30"/>
      <c r="P30" s="29">
        <f t="shared" si="6"/>
        <v>-302</v>
      </c>
      <c r="Q30" s="30">
        <f t="shared" si="7"/>
        <v>-0.05927379784102061</v>
      </c>
      <c r="R30" s="28"/>
      <c r="S30" s="29">
        <f t="shared" si="8"/>
        <v>-364</v>
      </c>
      <c r="T30" s="30">
        <f t="shared" si="9"/>
        <v>-0.13741034352585882</v>
      </c>
      <c r="V30" s="46">
        <v>1996</v>
      </c>
      <c r="W30" s="46">
        <v>2508</v>
      </c>
      <c r="X30" s="46">
        <v>208</v>
      </c>
      <c r="Y30" s="195">
        <f t="shared" si="1"/>
        <v>0.49224730127576055</v>
      </c>
      <c r="Z30" s="205">
        <f t="shared" si="10"/>
        <v>0.10014443909484834</v>
      </c>
    </row>
    <row r="31" spans="1:26" ht="12.75">
      <c r="A31" s="144" t="s">
        <v>271</v>
      </c>
      <c r="B31" s="46" t="s">
        <v>272</v>
      </c>
      <c r="C31" s="57"/>
      <c r="D31" s="47">
        <f>'3.1. Efnah.'!AC61/1000</f>
        <v>2312.5779939999998</v>
      </c>
      <c r="F31" s="47">
        <v>2313</v>
      </c>
      <c r="G31" s="47">
        <f t="shared" si="2"/>
        <v>4051</v>
      </c>
      <c r="H31" s="44">
        <v>4051</v>
      </c>
      <c r="I31" s="47">
        <f t="shared" si="3"/>
        <v>0</v>
      </c>
      <c r="J31" s="30">
        <f t="shared" si="4"/>
        <v>0</v>
      </c>
      <c r="K31" s="30"/>
      <c r="L31" s="47">
        <v>2512</v>
      </c>
      <c r="M31" s="29">
        <f t="shared" si="0"/>
        <v>-199</v>
      </c>
      <c r="N31" s="30">
        <f t="shared" si="5"/>
        <v>-0.07921974522292993</v>
      </c>
      <c r="O31" s="30"/>
      <c r="P31" s="29">
        <f t="shared" si="6"/>
        <v>359</v>
      </c>
      <c r="Q31" s="30">
        <f t="shared" si="7"/>
        <v>0.08862009380399902</v>
      </c>
      <c r="R31" s="28"/>
      <c r="S31" s="29">
        <f t="shared" si="8"/>
        <v>160</v>
      </c>
      <c r="T31" s="30">
        <f t="shared" si="9"/>
        <v>0.06369426751592357</v>
      </c>
      <c r="V31" s="46">
        <v>1997</v>
      </c>
      <c r="W31" s="46">
        <v>1738</v>
      </c>
      <c r="X31" s="46">
        <v>359</v>
      </c>
      <c r="Y31" s="195">
        <f t="shared" si="1"/>
        <v>0.42902986916810665</v>
      </c>
      <c r="Z31" s="205">
        <f t="shared" si="10"/>
        <v>0.15520968439256377</v>
      </c>
    </row>
    <row r="32" spans="1:26" ht="12.75">
      <c r="A32" s="146" t="s">
        <v>275</v>
      </c>
      <c r="B32" s="59" t="s">
        <v>285</v>
      </c>
      <c r="C32" s="73" t="s">
        <v>175</v>
      </c>
      <c r="D32" s="60">
        <f>'3.1. Efnah.'!AE61/1000</f>
        <v>2018.0925280000001</v>
      </c>
      <c r="E32" s="60"/>
      <c r="F32" s="60">
        <v>2018</v>
      </c>
      <c r="G32" s="47">
        <f t="shared" si="2"/>
        <v>3112</v>
      </c>
      <c r="H32" s="44">
        <v>3506</v>
      </c>
      <c r="I32" s="47">
        <f t="shared" si="3"/>
        <v>-394</v>
      </c>
      <c r="J32" s="30">
        <f t="shared" si="4"/>
        <v>-0.11237877923559612</v>
      </c>
      <c r="K32" s="30"/>
      <c r="L32" s="60">
        <v>1990</v>
      </c>
      <c r="M32" s="29">
        <f t="shared" si="0"/>
        <v>28</v>
      </c>
      <c r="N32" s="30">
        <f t="shared" si="5"/>
        <v>0.01407035175879397</v>
      </c>
      <c r="O32" s="30"/>
      <c r="P32" s="29">
        <f t="shared" si="6"/>
        <v>-294</v>
      </c>
      <c r="Q32" s="30">
        <f t="shared" si="7"/>
        <v>-0.0838562464346834</v>
      </c>
      <c r="R32" s="28"/>
      <c r="S32" s="29">
        <f t="shared" si="8"/>
        <v>128</v>
      </c>
      <c r="T32" s="30">
        <f t="shared" si="9"/>
        <v>0.06432160804020101</v>
      </c>
      <c r="U32" s="59"/>
      <c r="V32" s="46">
        <v>1997</v>
      </c>
      <c r="W32" s="59">
        <v>1094</v>
      </c>
      <c r="X32" s="46">
        <v>100</v>
      </c>
      <c r="Y32" s="195">
        <f t="shared" si="1"/>
        <v>0.3120365088419852</v>
      </c>
      <c r="Z32" s="205">
        <f t="shared" si="10"/>
        <v>0.049554013875123884</v>
      </c>
    </row>
    <row r="33" spans="1:26" ht="12.75">
      <c r="A33" s="146" t="s">
        <v>282</v>
      </c>
      <c r="B33" s="59" t="s">
        <v>441</v>
      </c>
      <c r="C33" s="73" t="s">
        <v>230</v>
      </c>
      <c r="D33" s="60">
        <f>'3.1. Efnah.'!AH61/1000</f>
        <v>1538.0454790000003</v>
      </c>
      <c r="E33" s="60"/>
      <c r="F33" s="60">
        <v>1405</v>
      </c>
      <c r="G33" s="47">
        <f t="shared" si="2"/>
        <v>2120</v>
      </c>
      <c r="H33" s="44">
        <v>2353</v>
      </c>
      <c r="I33" s="47">
        <f t="shared" si="3"/>
        <v>-233</v>
      </c>
      <c r="J33" s="30">
        <f t="shared" si="4"/>
        <v>-0.09902252443688908</v>
      </c>
      <c r="K33" s="30"/>
      <c r="L33" s="60">
        <v>1685</v>
      </c>
      <c r="M33" s="29">
        <f t="shared" si="0"/>
        <v>-280</v>
      </c>
      <c r="N33" s="30">
        <f t="shared" si="5"/>
        <v>-0.1661721068249258</v>
      </c>
      <c r="O33" s="30"/>
      <c r="P33" s="29">
        <f t="shared" si="6"/>
        <v>-123</v>
      </c>
      <c r="Q33" s="30">
        <f t="shared" si="7"/>
        <v>-0.05227369315767106</v>
      </c>
      <c r="R33" s="28"/>
      <c r="S33" s="29">
        <f t="shared" si="8"/>
        <v>-170</v>
      </c>
      <c r="T33" s="30">
        <f t="shared" si="9"/>
        <v>-0.10089020771513353</v>
      </c>
      <c r="U33" s="59"/>
      <c r="V33" s="46">
        <v>1996</v>
      </c>
      <c r="W33" s="46">
        <v>715</v>
      </c>
      <c r="X33" s="46">
        <v>110</v>
      </c>
      <c r="Y33" s="195">
        <f t="shared" si="1"/>
        <v>0.30386740331491713</v>
      </c>
      <c r="Z33" s="205">
        <f t="shared" si="10"/>
        <v>0.07829181494661921</v>
      </c>
    </row>
    <row r="34" spans="1:26" ht="12.75">
      <c r="A34" s="146" t="s">
        <v>284</v>
      </c>
      <c r="B34" s="59" t="s">
        <v>442</v>
      </c>
      <c r="C34" s="73" t="s">
        <v>443</v>
      </c>
      <c r="D34" s="60">
        <f>'3.1. Efnah.'!AI61/1000</f>
        <v>1522.875973</v>
      </c>
      <c r="E34" s="60"/>
      <c r="F34" s="60">
        <v>1523</v>
      </c>
      <c r="G34" s="47">
        <f t="shared" si="2"/>
        <v>2511</v>
      </c>
      <c r="H34" s="44">
        <v>2194</v>
      </c>
      <c r="I34" s="47">
        <f t="shared" si="3"/>
        <v>317</v>
      </c>
      <c r="J34" s="30">
        <f t="shared" si="4"/>
        <v>0.14448495897903374</v>
      </c>
      <c r="K34" s="30"/>
      <c r="L34" s="60">
        <v>1148</v>
      </c>
      <c r="M34" s="29">
        <f t="shared" si="0"/>
        <v>375</v>
      </c>
      <c r="N34" s="30">
        <f t="shared" si="5"/>
        <v>0.32665505226480834</v>
      </c>
      <c r="O34" s="30"/>
      <c r="P34" s="29">
        <f t="shared" si="6"/>
        <v>485</v>
      </c>
      <c r="Q34" s="30">
        <f t="shared" si="7"/>
        <v>0.2210574293527803</v>
      </c>
      <c r="R34" s="28"/>
      <c r="S34" s="29">
        <f t="shared" si="8"/>
        <v>543</v>
      </c>
      <c r="T34" s="30">
        <f t="shared" si="9"/>
        <v>0.4729965156794425</v>
      </c>
      <c r="U34" s="59"/>
      <c r="V34" s="46">
        <v>1997</v>
      </c>
      <c r="W34" s="59">
        <v>988</v>
      </c>
      <c r="X34" s="46">
        <v>168</v>
      </c>
      <c r="Y34" s="195">
        <f t="shared" si="1"/>
        <v>0.45031905195989064</v>
      </c>
      <c r="Z34" s="205">
        <f t="shared" si="10"/>
        <v>0.1103086014445174</v>
      </c>
    </row>
    <row r="35" spans="1:14" ht="12.75">
      <c r="A35" s="144" t="s">
        <v>175</v>
      </c>
      <c r="C35" s="57"/>
      <c r="H35" s="44"/>
      <c r="J35" s="30"/>
      <c r="K35" s="30"/>
      <c r="M35" s="29"/>
      <c r="N35" s="30"/>
    </row>
    <row r="36" spans="1:23" ht="12.75">
      <c r="A36"/>
      <c r="B36" s="64" t="s">
        <v>408</v>
      </c>
      <c r="C36" s="73"/>
      <c r="D36" s="60"/>
      <c r="E36" s="60"/>
      <c r="F36" s="60"/>
      <c r="G36" s="60"/>
      <c r="H36" s="60"/>
      <c r="I36" s="160"/>
      <c r="J36" s="30"/>
      <c r="K36" s="30"/>
      <c r="L36" s="60"/>
      <c r="M36" s="60"/>
      <c r="N36" s="61"/>
      <c r="O36" s="59"/>
      <c r="P36" s="59"/>
      <c r="Q36" s="59"/>
      <c r="R36" s="59"/>
      <c r="S36" s="59"/>
      <c r="T36" s="59"/>
      <c r="U36" s="59"/>
      <c r="V36" s="59"/>
      <c r="W36" s="59"/>
    </row>
    <row r="37" spans="1:23" ht="12.75">
      <c r="A37" s="72"/>
      <c r="B37" s="59"/>
      <c r="C37" s="73"/>
      <c r="D37" s="60"/>
      <c r="E37" s="60"/>
      <c r="F37" s="60"/>
      <c r="G37" s="60"/>
      <c r="H37" s="60"/>
      <c r="I37" s="160"/>
      <c r="J37" s="30"/>
      <c r="K37" s="30"/>
      <c r="L37" s="60"/>
      <c r="M37" s="60"/>
      <c r="N37" s="61"/>
      <c r="O37" s="59"/>
      <c r="P37" s="59"/>
      <c r="Q37" s="59"/>
      <c r="R37" s="59"/>
      <c r="S37" s="59"/>
      <c r="T37" s="59"/>
      <c r="U37" s="59"/>
      <c r="V37" s="59"/>
      <c r="W37" s="59"/>
    </row>
    <row r="38" spans="1:23" ht="12.75">
      <c r="A38" s="180" t="s">
        <v>299</v>
      </c>
      <c r="B38" s="59"/>
      <c r="C38" s="73"/>
      <c r="D38" s="60"/>
      <c r="E38" s="60"/>
      <c r="F38" s="60"/>
      <c r="G38" s="60"/>
      <c r="H38" s="60"/>
      <c r="I38" s="160"/>
      <c r="J38" s="161"/>
      <c r="K38" s="161"/>
      <c r="L38" s="60"/>
      <c r="M38" s="60"/>
      <c r="N38"/>
      <c r="O38" s="59"/>
      <c r="P38" s="59"/>
      <c r="Q38" s="59"/>
      <c r="R38" s="59"/>
      <c r="S38" s="59"/>
      <c r="T38" s="59"/>
      <c r="U38" s="59"/>
      <c r="V38" s="59"/>
      <c r="W38" s="59"/>
    </row>
    <row r="39" spans="1:23" ht="12.75">
      <c r="A39" s="180" t="s">
        <v>409</v>
      </c>
      <c r="B39" s="59"/>
      <c r="C39" s="73"/>
      <c r="D39" t="s">
        <v>175</v>
      </c>
      <c r="E39" s="60"/>
      <c r="F39" s="60"/>
      <c r="G39" s="60"/>
      <c r="H39" s="60"/>
      <c r="I39" s="160"/>
      <c r="J39" s="161" t="s">
        <v>175</v>
      </c>
      <c r="K39" s="161"/>
      <c r="L39" s="60"/>
      <c r="M39" s="60"/>
      <c r="N39" s="61"/>
      <c r="O39" s="59"/>
      <c r="P39" s="59"/>
      <c r="Q39" s="59"/>
      <c r="R39" s="59"/>
      <c r="S39" s="59"/>
      <c r="T39" s="59"/>
      <c r="U39" s="59"/>
      <c r="V39" s="59"/>
      <c r="W39" s="59"/>
    </row>
    <row r="40" spans="1:23" ht="13.5">
      <c r="A40" s="58"/>
      <c r="B40" s="64" t="s">
        <v>412</v>
      </c>
      <c r="C40" s="59"/>
      <c r="D40" s="60"/>
      <c r="E40" s="60"/>
      <c r="F40" s="60"/>
      <c r="G40" s="60"/>
      <c r="H40" s="60"/>
      <c r="I40" s="60"/>
      <c r="J40" s="61"/>
      <c r="K40" s="61"/>
      <c r="L40" s="60"/>
      <c r="M40" s="60"/>
      <c r="N40" s="61"/>
      <c r="O40" s="59"/>
      <c r="P40" s="59"/>
      <c r="Q40" s="59"/>
      <c r="R40" s="59"/>
      <c r="S40" s="59"/>
      <c r="T40" s="59"/>
      <c r="U40" s="59"/>
      <c r="V40" s="59"/>
      <c r="W40" s="59"/>
    </row>
    <row r="41" spans="1:23" ht="15.75">
      <c r="A41" s="174" t="s">
        <v>422</v>
      </c>
      <c r="B41" s="175"/>
      <c r="C41" s="175"/>
      <c r="D41" s="176"/>
      <c r="E41" s="176"/>
      <c r="F41" s="175"/>
      <c r="G41" s="175"/>
      <c r="H41" s="177"/>
      <c r="I41" s="176"/>
      <c r="J41" s="178"/>
      <c r="K41" s="178"/>
      <c r="L41" s="176"/>
      <c r="M41" s="176"/>
      <c r="N41" s="178"/>
      <c r="O41" s="175"/>
      <c r="P41" s="175"/>
      <c r="Q41" s="175"/>
      <c r="R41" s="175"/>
      <c r="S41" s="175"/>
      <c r="T41" s="175"/>
      <c r="U41" s="175"/>
      <c r="V41" s="175"/>
      <c r="W41" s="59"/>
    </row>
    <row r="42" spans="1:23" ht="15.75">
      <c r="A42" s="174" t="s">
        <v>423</v>
      </c>
      <c r="B42" s="175"/>
      <c r="C42" s="175"/>
      <c r="D42" s="176"/>
      <c r="E42" s="176"/>
      <c r="F42" s="175"/>
      <c r="G42" s="175"/>
      <c r="H42" s="177"/>
      <c r="I42" s="176"/>
      <c r="J42" s="178"/>
      <c r="K42" s="178"/>
      <c r="L42" s="176"/>
      <c r="M42" s="176"/>
      <c r="N42" s="178"/>
      <c r="O42" s="175"/>
      <c r="P42" s="175"/>
      <c r="Q42" s="175"/>
      <c r="R42" s="175"/>
      <c r="S42" s="175"/>
      <c r="T42" s="175"/>
      <c r="U42" s="175"/>
      <c r="V42" s="175"/>
      <c r="W42" s="59"/>
    </row>
    <row r="43" spans="1:23" ht="15.75">
      <c r="A43" s="174"/>
      <c r="B43" s="175"/>
      <c r="C43" s="175"/>
      <c r="D43" s="176"/>
      <c r="E43" s="176"/>
      <c r="F43" s="175"/>
      <c r="G43" s="175"/>
      <c r="H43" s="177"/>
      <c r="I43" s="176"/>
      <c r="J43" s="178"/>
      <c r="K43" s="178"/>
      <c r="L43" s="176"/>
      <c r="M43" s="176"/>
      <c r="N43" s="178"/>
      <c r="O43" s="175"/>
      <c r="P43" s="175"/>
      <c r="Q43" s="175"/>
      <c r="R43" s="175"/>
      <c r="S43" s="175"/>
      <c r="T43" s="175"/>
      <c r="U43" s="175"/>
      <c r="V43" s="175"/>
      <c r="W43" s="59"/>
    </row>
    <row r="44" spans="1:24" ht="12.75">
      <c r="A44" s="59"/>
      <c r="B44" s="179" t="s">
        <v>175</v>
      </c>
      <c r="C44" s="59"/>
      <c r="D44" s="60"/>
      <c r="E44" s="60"/>
      <c r="F44" s="204" t="s">
        <v>354</v>
      </c>
      <c r="G44" s="198"/>
      <c r="H44" s="198"/>
      <c r="I44" s="198"/>
      <c r="J44" s="199"/>
      <c r="L44" s="200" t="s">
        <v>355</v>
      </c>
      <c r="M44" s="201"/>
      <c r="N44" s="199"/>
      <c r="O44" s="48"/>
      <c r="P44" s="202" t="s">
        <v>356</v>
      </c>
      <c r="Q44" s="203"/>
      <c r="R44" s="203"/>
      <c r="S44" s="203"/>
      <c r="T44" s="203"/>
      <c r="U44" s="59"/>
      <c r="V44" s="28"/>
      <c r="W44" s="28"/>
      <c r="X44" s="28"/>
    </row>
    <row r="45" spans="1:25" ht="12.75">
      <c r="A45" s="28"/>
      <c r="B45" s="31" t="s">
        <v>424</v>
      </c>
      <c r="C45" s="28"/>
      <c r="D45" s="32" t="s">
        <v>358</v>
      </c>
      <c r="E45" s="32"/>
      <c r="F45" s="33" t="s">
        <v>358</v>
      </c>
      <c r="G45" s="62" t="s">
        <v>358</v>
      </c>
      <c r="H45" s="62" t="s">
        <v>359</v>
      </c>
      <c r="I45" s="62" t="s">
        <v>360</v>
      </c>
      <c r="J45" s="147" t="s">
        <v>361</v>
      </c>
      <c r="K45" s="34"/>
      <c r="L45" s="33" t="s">
        <v>362</v>
      </c>
      <c r="M45" s="66" t="s">
        <v>360</v>
      </c>
      <c r="N45" s="147" t="s">
        <v>361</v>
      </c>
      <c r="O45" s="34"/>
      <c r="P45" s="62" t="s">
        <v>360</v>
      </c>
      <c r="Q45" s="147" t="s">
        <v>361</v>
      </c>
      <c r="R45" s="147"/>
      <c r="S45" s="66" t="s">
        <v>360</v>
      </c>
      <c r="T45" s="147" t="s">
        <v>361</v>
      </c>
      <c r="U45" s="63"/>
      <c r="V45" s="32" t="s">
        <v>363</v>
      </c>
      <c r="W45"/>
      <c r="X45" s="28"/>
      <c r="Y45" s="32" t="s">
        <v>364</v>
      </c>
    </row>
    <row r="46" spans="1:26" ht="12.75">
      <c r="A46" s="28"/>
      <c r="B46" s="206" t="s">
        <v>365</v>
      </c>
      <c r="C46" s="28"/>
      <c r="D46" s="32" t="s">
        <v>366</v>
      </c>
      <c r="E46" s="32"/>
      <c r="F46" s="33" t="s">
        <v>367</v>
      </c>
      <c r="G46" s="65" t="s">
        <v>368</v>
      </c>
      <c r="H46" s="62" t="s">
        <v>369</v>
      </c>
      <c r="I46" s="62" t="s">
        <v>370</v>
      </c>
      <c r="J46" s="34" t="s">
        <v>370</v>
      </c>
      <c r="K46" s="34"/>
      <c r="L46" s="33" t="s">
        <v>369</v>
      </c>
      <c r="M46" s="62" t="s">
        <v>371</v>
      </c>
      <c r="N46" s="34" t="s">
        <v>372</v>
      </c>
      <c r="O46" s="34"/>
      <c r="P46" s="62" t="s">
        <v>370</v>
      </c>
      <c r="Q46" s="34" t="s">
        <v>370</v>
      </c>
      <c r="R46" s="34"/>
      <c r="S46" s="62" t="s">
        <v>371</v>
      </c>
      <c r="T46" s="34" t="s">
        <v>372</v>
      </c>
      <c r="U46" s="63"/>
      <c r="V46" s="32" t="s">
        <v>373</v>
      </c>
      <c r="W46"/>
      <c r="X46" s="28"/>
      <c r="Y46" s="32" t="s">
        <v>374</v>
      </c>
      <c r="Z46" s="51" t="s">
        <v>375</v>
      </c>
    </row>
    <row r="47" spans="1:26" ht="12.75">
      <c r="A47" s="28"/>
      <c r="B47"/>
      <c r="C47" s="28"/>
      <c r="D47" s="32">
        <v>1997</v>
      </c>
      <c r="E47" s="32"/>
      <c r="F47" s="33" t="s">
        <v>376</v>
      </c>
      <c r="G47" s="62" t="s">
        <v>377</v>
      </c>
      <c r="H47" s="62" t="s">
        <v>378</v>
      </c>
      <c r="I47" s="62" t="s">
        <v>379</v>
      </c>
      <c r="J47" s="34" t="s">
        <v>379</v>
      </c>
      <c r="K47" s="149"/>
      <c r="L47" s="33" t="s">
        <v>378</v>
      </c>
      <c r="M47" s="62" t="s">
        <v>379</v>
      </c>
      <c r="N47" s="34" t="s">
        <v>379</v>
      </c>
      <c r="O47" s="34"/>
      <c r="P47" s="62" t="s">
        <v>379</v>
      </c>
      <c r="Q47" s="34" t="s">
        <v>379</v>
      </c>
      <c r="R47" s="148"/>
      <c r="S47" s="62" t="s">
        <v>379</v>
      </c>
      <c r="T47" s="34" t="s">
        <v>379</v>
      </c>
      <c r="U47" s="63"/>
      <c r="V47" s="32" t="s">
        <v>380</v>
      </c>
      <c r="W47" s="32" t="s">
        <v>381</v>
      </c>
      <c r="X47" s="52" t="s">
        <v>375</v>
      </c>
      <c r="Y47" s="32" t="s">
        <v>382</v>
      </c>
      <c r="Z47" s="51" t="s">
        <v>383</v>
      </c>
    </row>
    <row r="48" spans="1:26" ht="12.75">
      <c r="A48" s="35" t="s">
        <v>384</v>
      </c>
      <c r="B48"/>
      <c r="C48" s="32" t="s">
        <v>385</v>
      </c>
      <c r="D48" s="36" t="s">
        <v>386</v>
      </c>
      <c r="E48" s="36"/>
      <c r="F48" s="37" t="s">
        <v>386</v>
      </c>
      <c r="G48" s="67" t="s">
        <v>386</v>
      </c>
      <c r="H48" s="67" t="s">
        <v>386</v>
      </c>
      <c r="I48" s="67" t="s">
        <v>386</v>
      </c>
      <c r="J48" s="38" t="s">
        <v>224</v>
      </c>
      <c r="K48" s="38"/>
      <c r="L48" s="37" t="s">
        <v>386</v>
      </c>
      <c r="M48" s="67" t="s">
        <v>386</v>
      </c>
      <c r="N48" s="38" t="s">
        <v>224</v>
      </c>
      <c r="O48" s="38"/>
      <c r="P48" s="67" t="s">
        <v>386</v>
      </c>
      <c r="Q48" s="38" t="s">
        <v>224</v>
      </c>
      <c r="R48" s="38"/>
      <c r="S48" s="67" t="s">
        <v>386</v>
      </c>
      <c r="T48" s="68" t="s">
        <v>224</v>
      </c>
      <c r="U48" s="68"/>
      <c r="V48" s="32" t="s">
        <v>387</v>
      </c>
      <c r="W48" s="32" t="s">
        <v>377</v>
      </c>
      <c r="X48" s="52" t="s">
        <v>383</v>
      </c>
      <c r="Y48" s="32" t="s">
        <v>379</v>
      </c>
      <c r="Z48" s="51" t="s">
        <v>388</v>
      </c>
    </row>
    <row r="49" spans="1:26" ht="12.75">
      <c r="A49" s="28"/>
      <c r="B49" s="35" t="s">
        <v>425</v>
      </c>
      <c r="C49" s="28"/>
      <c r="D49" s="39" t="s">
        <v>390</v>
      </c>
      <c r="E49" s="39"/>
      <c r="F49" s="40" t="s">
        <v>111</v>
      </c>
      <c r="G49" s="193" t="s">
        <v>112</v>
      </c>
      <c r="H49" s="193" t="s">
        <v>113</v>
      </c>
      <c r="I49" s="193" t="s">
        <v>114</v>
      </c>
      <c r="J49" s="150" t="s">
        <v>115</v>
      </c>
      <c r="K49" s="150"/>
      <c r="L49" s="151" t="s">
        <v>116</v>
      </c>
      <c r="M49" s="154" t="s">
        <v>117</v>
      </c>
      <c r="N49" s="150" t="s">
        <v>391</v>
      </c>
      <c r="O49" s="150"/>
      <c r="P49" s="155" t="s">
        <v>392</v>
      </c>
      <c r="Q49" s="155" t="s">
        <v>393</v>
      </c>
      <c r="R49" s="59"/>
      <c r="S49" s="155" t="s">
        <v>119</v>
      </c>
      <c r="T49" s="155" t="s">
        <v>120</v>
      </c>
      <c r="U49" s="155"/>
      <c r="V49" s="152" t="s">
        <v>121</v>
      </c>
      <c r="W49" s="152" t="s">
        <v>122</v>
      </c>
      <c r="X49" s="152" t="s">
        <v>123</v>
      </c>
      <c r="Y49" s="152" t="s">
        <v>124</v>
      </c>
      <c r="Z49" s="152" t="s">
        <v>125</v>
      </c>
    </row>
    <row r="50" spans="1:23" ht="12.75">
      <c r="A50" s="59"/>
      <c r="B50" s="181" t="s">
        <v>414</v>
      </c>
      <c r="C50" s="73" t="s">
        <v>175</v>
      </c>
      <c r="D50" s="69"/>
      <c r="E50" s="69"/>
      <c r="F50" s="69"/>
      <c r="G50" s="69"/>
      <c r="H50" s="69"/>
      <c r="I50" s="69"/>
      <c r="J50" s="70"/>
      <c r="K50" s="70"/>
      <c r="L50" s="69"/>
      <c r="M50" s="69"/>
      <c r="N50" s="70"/>
      <c r="O50" s="59"/>
      <c r="P50" s="59"/>
      <c r="Q50" s="59"/>
      <c r="R50" s="59"/>
      <c r="S50" s="59"/>
      <c r="T50" s="59"/>
      <c r="U50" s="59"/>
      <c r="V50" s="71"/>
      <c r="W50"/>
    </row>
    <row r="51" spans="1:26" ht="12.75">
      <c r="A51" s="146" t="s">
        <v>286</v>
      </c>
      <c r="B51" s="59" t="s">
        <v>444</v>
      </c>
      <c r="C51" s="73"/>
      <c r="D51" s="60">
        <f>'3.1. Efnah.'!AJ61/1000</f>
        <v>1267.0921720000003</v>
      </c>
      <c r="E51" s="60"/>
      <c r="F51" s="60">
        <v>1267</v>
      </c>
      <c r="G51" s="47">
        <f>SUM(F51)+W51</f>
        <v>2292</v>
      </c>
      <c r="H51" s="44">
        <v>2350</v>
      </c>
      <c r="I51" s="47">
        <f>SUM(G51-H51)</f>
        <v>-58</v>
      </c>
      <c r="J51" s="30">
        <f>I51/H51</f>
        <v>-0.02468085106382979</v>
      </c>
      <c r="K51" s="30"/>
      <c r="L51" s="60">
        <v>1200</v>
      </c>
      <c r="M51" s="29">
        <f aca="true" t="shared" si="11" ref="M51:M62">F51-L51</f>
        <v>67</v>
      </c>
      <c r="N51" s="30">
        <f aca="true" t="shared" si="12" ref="N51:N62">M51/L51</f>
        <v>0.05583333333333333</v>
      </c>
      <c r="O51" s="30"/>
      <c r="P51" s="29">
        <f>SUM(I51+X51)</f>
        <v>153</v>
      </c>
      <c r="Q51" s="30">
        <f>SUM(P51/H51)</f>
        <v>0.0651063829787234</v>
      </c>
      <c r="R51" s="28"/>
      <c r="S51" s="29">
        <f aca="true" t="shared" si="13" ref="S51:S61">SUM(M51+X51)</f>
        <v>278</v>
      </c>
      <c r="T51" s="30">
        <f aca="true" t="shared" si="14" ref="T51:T61">SUM(S51/L51)</f>
        <v>0.23166666666666666</v>
      </c>
      <c r="U51" s="59"/>
      <c r="V51" s="59">
        <v>1997</v>
      </c>
      <c r="W51" s="59">
        <v>1025</v>
      </c>
      <c r="X51" s="46">
        <v>211</v>
      </c>
      <c r="Y51" s="195">
        <f aca="true" t="shared" si="15" ref="Y51:Y60">SUM(W51/H51)</f>
        <v>0.43617021276595747</v>
      </c>
      <c r="Z51" s="205">
        <f aca="true" t="shared" si="16" ref="Z51:Z61">SUM(X51/F51)</f>
        <v>0.1665351223362273</v>
      </c>
    </row>
    <row r="52" spans="1:26" ht="12.75">
      <c r="A52" s="146" t="s">
        <v>287</v>
      </c>
      <c r="B52" s="59" t="s">
        <v>445</v>
      </c>
      <c r="C52" s="73" t="s">
        <v>175</v>
      </c>
      <c r="D52" s="60">
        <f>'3.1. Efnah.'!AK61/1000</f>
        <v>1145.154233</v>
      </c>
      <c r="E52" s="60"/>
      <c r="F52" s="60">
        <v>1004.578611</v>
      </c>
      <c r="G52" s="47">
        <f>SUM(F52)+W52</f>
        <v>1793.578611</v>
      </c>
      <c r="H52" s="44">
        <v>1722</v>
      </c>
      <c r="I52" s="47">
        <f>SUM(G52-H52)</f>
        <v>71.57861099999991</v>
      </c>
      <c r="J52" s="30">
        <f>I52/H52</f>
        <v>0.04156713763066197</v>
      </c>
      <c r="K52" s="30"/>
      <c r="L52" s="60">
        <v>957</v>
      </c>
      <c r="M52" s="29">
        <f t="shared" si="11"/>
        <v>47.57861100000002</v>
      </c>
      <c r="N52" s="30">
        <f t="shared" si="12"/>
        <v>0.04971641692789971</v>
      </c>
      <c r="O52" s="30"/>
      <c r="P52" s="29"/>
      <c r="Q52" s="30"/>
      <c r="R52" s="28"/>
      <c r="S52" s="29"/>
      <c r="T52" s="30"/>
      <c r="U52" s="59"/>
      <c r="V52" s="59">
        <v>1996</v>
      </c>
      <c r="W52" s="59">
        <v>789</v>
      </c>
      <c r="X52" s="46">
        <v>0</v>
      </c>
      <c r="Y52" s="195">
        <f t="shared" si="15"/>
        <v>0.45818815331010454</v>
      </c>
      <c r="Z52" s="205">
        <f t="shared" si="16"/>
        <v>0</v>
      </c>
    </row>
    <row r="53" spans="1:26" ht="12.75">
      <c r="A53" s="144" t="s">
        <v>289</v>
      </c>
      <c r="B53" s="46" t="s">
        <v>446</v>
      </c>
      <c r="C53" s="57" t="s">
        <v>175</v>
      </c>
      <c r="D53" s="47">
        <f>'3.1. Efnah.'!AL61/1000</f>
        <v>1116.314052</v>
      </c>
      <c r="F53" s="47">
        <v>1116</v>
      </c>
      <c r="G53" s="47">
        <f>SUM(F53)+W53</f>
        <v>1881</v>
      </c>
      <c r="H53" s="44">
        <v>1798</v>
      </c>
      <c r="I53" s="47">
        <f>SUM(G53-H53)</f>
        <v>83</v>
      </c>
      <c r="J53" s="30">
        <f>I53/H53</f>
        <v>0.046162402669632924</v>
      </c>
      <c r="K53" s="30"/>
      <c r="L53" s="60">
        <v>886</v>
      </c>
      <c r="M53" s="29">
        <f t="shared" si="11"/>
        <v>230</v>
      </c>
      <c r="N53" s="30">
        <f t="shared" si="12"/>
        <v>0.2595936794582393</v>
      </c>
      <c r="O53" s="30"/>
      <c r="P53" s="29">
        <f>SUM(I53+X53)</f>
        <v>239</v>
      </c>
      <c r="Q53" s="30">
        <f>SUM(P53/H53)</f>
        <v>0.13292547274749722</v>
      </c>
      <c r="R53" s="28"/>
      <c r="S53" s="29">
        <f t="shared" si="13"/>
        <v>386</v>
      </c>
      <c r="T53" s="30">
        <f t="shared" si="14"/>
        <v>0.435665914221219</v>
      </c>
      <c r="V53" s="59">
        <v>1997</v>
      </c>
      <c r="W53" s="153">
        <v>765</v>
      </c>
      <c r="X53" s="46">
        <v>156</v>
      </c>
      <c r="Y53" s="195">
        <f t="shared" si="15"/>
        <v>0.42547274749721914</v>
      </c>
      <c r="Z53" s="205">
        <f t="shared" si="16"/>
        <v>0.13978494623655913</v>
      </c>
    </row>
    <row r="54" spans="1:27" ht="12.75">
      <c r="A54" s="144" t="s">
        <v>291</v>
      </c>
      <c r="B54" s="46" t="s">
        <v>447</v>
      </c>
      <c r="C54" s="57" t="s">
        <v>230</v>
      </c>
      <c r="D54" s="47">
        <f>'3.1. Efnah.'!AM61/1000</f>
        <v>994.3139930000002</v>
      </c>
      <c r="F54" s="47">
        <v>994</v>
      </c>
      <c r="H54" s="44"/>
      <c r="J54" s="30"/>
      <c r="K54" s="30"/>
      <c r="L54" s="47">
        <v>1235</v>
      </c>
      <c r="M54" s="29">
        <f t="shared" si="11"/>
        <v>-241</v>
      </c>
      <c r="N54" s="30">
        <f t="shared" si="12"/>
        <v>-0.1951417004048583</v>
      </c>
      <c r="O54" s="30"/>
      <c r="P54" s="29"/>
      <c r="Q54" s="30"/>
      <c r="R54" s="28"/>
      <c r="S54" s="29">
        <f t="shared" si="13"/>
        <v>-99.69999999999999</v>
      </c>
      <c r="T54" s="30">
        <f t="shared" si="14"/>
        <v>-0.08072874493927125</v>
      </c>
      <c r="V54" s="59">
        <v>1997</v>
      </c>
      <c r="X54" s="46">
        <v>141.3</v>
      </c>
      <c r="Y54" s="195"/>
      <c r="Z54" s="205">
        <f t="shared" si="16"/>
        <v>0.1421529175050302</v>
      </c>
      <c r="AA54" s="145"/>
    </row>
    <row r="55" spans="1:26" ht="12.75">
      <c r="A55" s="146" t="s">
        <v>305</v>
      </c>
      <c r="B55" s="46" t="s">
        <v>448</v>
      </c>
      <c r="C55" s="73" t="s">
        <v>175</v>
      </c>
      <c r="D55" s="75">
        <f>'3.1. Efnah.'!AT61/1000</f>
        <v>745.289116</v>
      </c>
      <c r="E55" s="75"/>
      <c r="F55" s="60">
        <v>745</v>
      </c>
      <c r="G55" s="47">
        <f>SUM(F55)+W55</f>
        <v>1460</v>
      </c>
      <c r="H55" s="44">
        <v>1516</v>
      </c>
      <c r="I55" s="47">
        <f>SUM(G55-H55)</f>
        <v>-56</v>
      </c>
      <c r="J55" s="30">
        <f>I55/H55</f>
        <v>-0.036939313984168866</v>
      </c>
      <c r="K55" s="30"/>
      <c r="L55" s="47">
        <v>793</v>
      </c>
      <c r="M55" s="29">
        <f t="shared" si="11"/>
        <v>-48</v>
      </c>
      <c r="N55" s="30">
        <f t="shared" si="12"/>
        <v>-0.0605296343001261</v>
      </c>
      <c r="O55" s="30"/>
      <c r="P55" s="29">
        <f>SUM(I55+X55)</f>
        <v>1</v>
      </c>
      <c r="Q55" s="30">
        <f>SUM(P55/H55)</f>
        <v>0.0006596306068601583</v>
      </c>
      <c r="R55" s="28"/>
      <c r="S55" s="29">
        <f t="shared" si="13"/>
        <v>9</v>
      </c>
      <c r="T55" s="30">
        <f t="shared" si="14"/>
        <v>0.011349306431273645</v>
      </c>
      <c r="V55" s="59">
        <v>1997</v>
      </c>
      <c r="W55" s="46">
        <v>715</v>
      </c>
      <c r="X55" s="46">
        <v>57</v>
      </c>
      <c r="Y55" s="195">
        <f t="shared" si="15"/>
        <v>0.4716358839050132</v>
      </c>
      <c r="Z55" s="205">
        <f t="shared" si="16"/>
        <v>0.07651006711409396</v>
      </c>
    </row>
    <row r="56" spans="1:26" ht="12.75">
      <c r="A56" s="146" t="s">
        <v>308</v>
      </c>
      <c r="B56" s="59" t="s">
        <v>449</v>
      </c>
      <c r="C56" s="73" t="s">
        <v>450</v>
      </c>
      <c r="D56" s="75">
        <f>'3.1. Efnah.'!AV61/1000</f>
        <v>608.8594760000001</v>
      </c>
      <c r="E56" s="75"/>
      <c r="F56" s="60">
        <v>609</v>
      </c>
      <c r="G56" s="183" t="s">
        <v>175</v>
      </c>
      <c r="H56" s="185" t="s">
        <v>175</v>
      </c>
      <c r="I56" s="183" t="s">
        <v>175</v>
      </c>
      <c r="J56" s="184" t="s">
        <v>175</v>
      </c>
      <c r="K56" s="161"/>
      <c r="L56" s="60">
        <v>796</v>
      </c>
      <c r="M56" s="29">
        <f t="shared" si="11"/>
        <v>-187</v>
      </c>
      <c r="N56" s="30">
        <f t="shared" si="12"/>
        <v>-0.23492462311557788</v>
      </c>
      <c r="O56" s="30"/>
      <c r="P56" s="29"/>
      <c r="Q56" s="30"/>
      <c r="R56" s="28"/>
      <c r="S56" s="29"/>
      <c r="T56" s="30"/>
      <c r="U56" s="59"/>
      <c r="V56" s="59">
        <v>1996</v>
      </c>
      <c r="W56" s="59"/>
      <c r="Y56" s="195"/>
      <c r="Z56" s="205"/>
    </row>
    <row r="57" spans="1:26" ht="12.75">
      <c r="A57" s="146" t="s">
        <v>312</v>
      </c>
      <c r="B57" s="59" t="s">
        <v>451</v>
      </c>
      <c r="C57" s="73" t="s">
        <v>230</v>
      </c>
      <c r="D57" s="60">
        <f>'3.1. Efnah.'!AX61/1000</f>
        <v>525.9821769999999</v>
      </c>
      <c r="E57" s="60"/>
      <c r="F57" s="60">
        <v>526</v>
      </c>
      <c r="H57" s="44"/>
      <c r="J57" s="30"/>
      <c r="K57" s="30"/>
      <c r="L57" s="60">
        <v>540</v>
      </c>
      <c r="M57" s="29">
        <f t="shared" si="11"/>
        <v>-14</v>
      </c>
      <c r="N57" s="30">
        <f t="shared" si="12"/>
        <v>-0.025925925925925925</v>
      </c>
      <c r="O57" s="30"/>
      <c r="P57" s="29"/>
      <c r="Q57" s="30"/>
      <c r="R57" s="28"/>
      <c r="S57" s="29">
        <f t="shared" si="13"/>
        <v>86</v>
      </c>
      <c r="T57" s="30">
        <f t="shared" si="14"/>
        <v>0.15925925925925927</v>
      </c>
      <c r="U57" s="59"/>
      <c r="V57" s="59">
        <v>1997</v>
      </c>
      <c r="W57" s="59"/>
      <c r="X57" s="46">
        <v>100</v>
      </c>
      <c r="Y57" s="195"/>
      <c r="Z57" s="205">
        <f t="shared" si="16"/>
        <v>0.19011406844106463</v>
      </c>
    </row>
    <row r="58" spans="1:26" ht="12.75">
      <c r="A58" s="146" t="s">
        <v>314</v>
      </c>
      <c r="B58" s="59" t="s">
        <v>452</v>
      </c>
      <c r="C58" s="73" t="s">
        <v>453</v>
      </c>
      <c r="D58" s="60">
        <f>'3.1. Efnah.'!AY61/1000</f>
        <v>428.390579</v>
      </c>
      <c r="E58" s="60"/>
      <c r="F58" s="60">
        <v>407</v>
      </c>
      <c r="H58" s="185" t="s">
        <v>175</v>
      </c>
      <c r="J58" s="30"/>
      <c r="K58" s="161"/>
      <c r="L58" s="60">
        <v>419</v>
      </c>
      <c r="M58" s="29">
        <f t="shared" si="11"/>
        <v>-12</v>
      </c>
      <c r="N58" s="30">
        <f t="shared" si="12"/>
        <v>-0.028639618138424822</v>
      </c>
      <c r="O58" s="30"/>
      <c r="P58" s="29"/>
      <c r="Q58" s="30"/>
      <c r="R58" s="28"/>
      <c r="S58" s="29">
        <f t="shared" si="13"/>
        <v>28</v>
      </c>
      <c r="T58" s="30">
        <f t="shared" si="14"/>
        <v>0.06682577565632458</v>
      </c>
      <c r="U58" s="59"/>
      <c r="V58" s="59">
        <v>1994</v>
      </c>
      <c r="W58" s="59"/>
      <c r="X58" s="46">
        <v>40</v>
      </c>
      <c r="Y58" s="195"/>
      <c r="Z58" s="205">
        <f t="shared" si="16"/>
        <v>0.09828009828009827</v>
      </c>
    </row>
    <row r="59" spans="1:26" ht="12.75">
      <c r="A59" s="146" t="s">
        <v>316</v>
      </c>
      <c r="B59" s="59" t="s">
        <v>454</v>
      </c>
      <c r="C59" s="73" t="s">
        <v>453</v>
      </c>
      <c r="D59" s="60">
        <f>'3.1. Efnah.'!AZ61/1000</f>
        <v>391.064473</v>
      </c>
      <c r="E59" s="60"/>
      <c r="F59" s="60">
        <v>391</v>
      </c>
      <c r="H59" s="185"/>
      <c r="J59" s="30"/>
      <c r="K59" s="161"/>
      <c r="L59" s="60">
        <v>602</v>
      </c>
      <c r="M59" s="29">
        <f t="shared" si="11"/>
        <v>-211</v>
      </c>
      <c r="N59" s="30">
        <f t="shared" si="12"/>
        <v>-0.3504983388704319</v>
      </c>
      <c r="O59" s="30"/>
      <c r="P59" s="29"/>
      <c r="Q59" s="30"/>
      <c r="R59" s="28"/>
      <c r="S59" s="29"/>
      <c r="T59" s="30"/>
      <c r="U59" s="59"/>
      <c r="V59" s="59">
        <v>1997</v>
      </c>
      <c r="W59" s="59"/>
      <c r="Y59" s="195"/>
      <c r="Z59" s="205"/>
    </row>
    <row r="60" spans="1:26" ht="12.75">
      <c r="A60" s="146" t="s">
        <v>323</v>
      </c>
      <c r="B60" s="179" t="s">
        <v>650</v>
      </c>
      <c r="C60" s="73" t="s">
        <v>175</v>
      </c>
      <c r="D60" s="60">
        <f>'3.1. Efnah.'!BC61/1000</f>
        <v>308.43624800000003</v>
      </c>
      <c r="E60" s="60"/>
      <c r="F60" s="60">
        <v>308</v>
      </c>
      <c r="G60" s="47">
        <f>SUM(F60)+W60</f>
        <v>525</v>
      </c>
      <c r="H60" s="44">
        <v>578</v>
      </c>
      <c r="I60" s="47">
        <f>SUM(G60-H60)</f>
        <v>-53</v>
      </c>
      <c r="J60" s="30">
        <f>I60/H60</f>
        <v>-0.09169550173010381</v>
      </c>
      <c r="K60" s="30"/>
      <c r="L60" s="60">
        <v>327</v>
      </c>
      <c r="M60" s="29">
        <f t="shared" si="11"/>
        <v>-19</v>
      </c>
      <c r="N60" s="30">
        <f t="shared" si="12"/>
        <v>-0.0581039755351682</v>
      </c>
      <c r="O60" s="30"/>
      <c r="P60" s="29">
        <f>SUM(I60+X60)</f>
        <v>-11</v>
      </c>
      <c r="Q60" s="30">
        <f>SUM(P60/H60)</f>
        <v>-0.01903114186851211</v>
      </c>
      <c r="R60" s="28"/>
      <c r="S60" s="29">
        <f t="shared" si="13"/>
        <v>23</v>
      </c>
      <c r="T60" s="30">
        <f t="shared" si="14"/>
        <v>0.07033639143730887</v>
      </c>
      <c r="U60" s="59"/>
      <c r="V60" s="59">
        <v>1997</v>
      </c>
      <c r="W60" s="59">
        <v>217</v>
      </c>
      <c r="X60" s="46">
        <v>42</v>
      </c>
      <c r="Y60" s="195">
        <f t="shared" si="15"/>
        <v>0.3754325259515571</v>
      </c>
      <c r="Z60" s="205">
        <f t="shared" si="16"/>
        <v>0.13636363636363635</v>
      </c>
    </row>
    <row r="61" spans="1:26" ht="12.75">
      <c r="A61" s="146" t="s">
        <v>327</v>
      </c>
      <c r="B61" s="59" t="s">
        <v>455</v>
      </c>
      <c r="C61" s="73" t="s">
        <v>266</v>
      </c>
      <c r="D61" s="60">
        <f>'3.1. Efnah.'!BF61/1000</f>
        <v>165.75593</v>
      </c>
      <c r="E61" s="60"/>
      <c r="F61" s="60">
        <v>169</v>
      </c>
      <c r="G61" s="60"/>
      <c r="H61" s="60"/>
      <c r="I61" s="160"/>
      <c r="J61" s="184" t="s">
        <v>175</v>
      </c>
      <c r="K61" s="161"/>
      <c r="L61" s="60">
        <v>340.3</v>
      </c>
      <c r="M61" s="29">
        <f t="shared" si="11"/>
        <v>-171.3</v>
      </c>
      <c r="N61" s="30">
        <f t="shared" si="12"/>
        <v>-0.503379371143109</v>
      </c>
      <c r="O61" s="30"/>
      <c r="P61" s="29"/>
      <c r="Q61" s="30"/>
      <c r="R61" s="28"/>
      <c r="S61" s="29">
        <f t="shared" si="13"/>
        <v>-142.3</v>
      </c>
      <c r="T61" s="30">
        <f t="shared" si="14"/>
        <v>-0.41816044666470764</v>
      </c>
      <c r="U61" s="59"/>
      <c r="V61" s="59">
        <v>1996</v>
      </c>
      <c r="W61" s="59"/>
      <c r="X61" s="46">
        <v>29</v>
      </c>
      <c r="Y61" s="195"/>
      <c r="Z61" s="205">
        <f t="shared" si="16"/>
        <v>0.17159763313609466</v>
      </c>
    </row>
    <row r="62" spans="1:26" ht="12.75">
      <c r="A62" s="144" t="s">
        <v>338</v>
      </c>
      <c r="B62" s="46" t="s">
        <v>456</v>
      </c>
      <c r="C62" s="57" t="s">
        <v>457</v>
      </c>
      <c r="D62" s="47">
        <f>'3.1. Efnah.'!BM61/1000</f>
        <v>11.210747</v>
      </c>
      <c r="F62" s="47">
        <v>11</v>
      </c>
      <c r="H62" s="183" t="s">
        <v>175</v>
      </c>
      <c r="L62" s="47">
        <v>5.7</v>
      </c>
      <c r="M62" s="29">
        <f t="shared" si="11"/>
        <v>5.3</v>
      </c>
      <c r="N62" s="30">
        <f t="shared" si="12"/>
        <v>0.9298245614035087</v>
      </c>
      <c r="O62" s="30"/>
      <c r="P62" s="29"/>
      <c r="Q62" s="30"/>
      <c r="R62" s="28"/>
      <c r="S62" s="29"/>
      <c r="T62" s="30"/>
      <c r="V62" s="59">
        <v>1997</v>
      </c>
      <c r="Y62" s="195"/>
      <c r="Z62" s="205"/>
    </row>
    <row r="63" spans="1:23" ht="12.75">
      <c r="A63"/>
      <c r="B63" s="59"/>
      <c r="C63" s="73"/>
      <c r="D63" s="60"/>
      <c r="E63" s="60"/>
      <c r="F63" s="60"/>
      <c r="G63" s="60"/>
      <c r="H63" s="60"/>
      <c r="I63" s="160"/>
      <c r="J63" s="161"/>
      <c r="K63" s="161"/>
      <c r="L63" s="60"/>
      <c r="M63" s="60"/>
      <c r="N63" s="61"/>
      <c r="O63" s="59"/>
      <c r="P63" s="59"/>
      <c r="Q63" s="59"/>
      <c r="R63" s="59"/>
      <c r="S63" s="59"/>
      <c r="T63" s="59"/>
      <c r="U63" s="59"/>
      <c r="V63" s="59"/>
      <c r="W63" s="59"/>
    </row>
    <row r="64" spans="1:23" ht="12.75">
      <c r="A64" s="180" t="s">
        <v>299</v>
      </c>
      <c r="B64" s="59"/>
      <c r="C64" s="73"/>
      <c r="D64" s="60"/>
      <c r="E64" s="60"/>
      <c r="F64" s="60"/>
      <c r="G64" s="60"/>
      <c r="H64" s="60"/>
      <c r="I64" s="160"/>
      <c r="J64" s="161"/>
      <c r="K64" s="161"/>
      <c r="L64" s="60"/>
      <c r="M64" s="60"/>
      <c r="N64" s="61"/>
      <c r="O64" s="59"/>
      <c r="P64" s="59"/>
      <c r="Q64" s="59"/>
      <c r="R64" s="59"/>
      <c r="S64" s="59"/>
      <c r="T64" s="59"/>
      <c r="U64" s="59"/>
      <c r="V64" s="59"/>
      <c r="W64" s="59"/>
    </row>
    <row r="65" spans="1:23" ht="12.75">
      <c r="A65" s="180" t="s">
        <v>409</v>
      </c>
      <c r="B65" s="59"/>
      <c r="C65" s="60"/>
      <c r="D65"/>
      <c r="E65" s="60"/>
      <c r="F65" s="60"/>
      <c r="G65" s="60"/>
      <c r="H65" s="60"/>
      <c r="I65" s="61"/>
      <c r="J65" s="60"/>
      <c r="K65" s="60"/>
      <c r="L65" s="60"/>
      <c r="M65" s="61"/>
      <c r="N65" s="59"/>
      <c r="O65" s="59"/>
      <c r="P65" s="59"/>
      <c r="Q65" s="59"/>
      <c r="R65" s="59"/>
      <c r="S65" s="59"/>
      <c r="T65" s="59"/>
      <c r="U65" s="59"/>
      <c r="V65" s="59"/>
      <c r="W65" s="59"/>
    </row>
    <row r="66" spans="1:23" ht="12.75">
      <c r="A66" s="182" t="s">
        <v>439</v>
      </c>
      <c r="B66" s="59"/>
      <c r="C66" s="60"/>
      <c r="D66" s="60"/>
      <c r="E66" s="60"/>
      <c r="F66" s="60"/>
      <c r="G66" s="60"/>
      <c r="H66" s="60"/>
      <c r="I66" s="61"/>
      <c r="J66" s="60"/>
      <c r="K66" s="60"/>
      <c r="L66" s="60"/>
      <c r="M66" s="61"/>
      <c r="N66" s="59"/>
      <c r="O66" s="59"/>
      <c r="P66" s="59"/>
      <c r="Q66" s="59"/>
      <c r="R66" s="59"/>
      <c r="S66" s="59"/>
      <c r="T66" s="59"/>
      <c r="U66" s="59"/>
      <c r="V66" s="59"/>
      <c r="W66" s="59"/>
    </row>
    <row r="67" spans="1:23" ht="12.75">
      <c r="A67" s="180" t="s">
        <v>411</v>
      </c>
      <c r="B67" s="59"/>
      <c r="C67" s="60"/>
      <c r="D67" s="60"/>
      <c r="E67" s="60"/>
      <c r="F67" s="60"/>
      <c r="G67" s="60"/>
      <c r="H67" s="60"/>
      <c r="I67" s="61"/>
      <c r="J67" s="60"/>
      <c r="K67" s="60"/>
      <c r="L67" s="60"/>
      <c r="M67" s="61"/>
      <c r="N67" s="59"/>
      <c r="O67" s="59"/>
      <c r="P67" s="59"/>
      <c r="Q67" s="59"/>
      <c r="R67" s="59"/>
      <c r="S67" s="59"/>
      <c r="T67" s="59"/>
      <c r="U67" s="59"/>
      <c r="V67" s="59"/>
      <c r="W67" s="59"/>
    </row>
    <row r="68" spans="1:23" ht="12.75">
      <c r="A68" s="180" t="s">
        <v>175</v>
      </c>
      <c r="B68" s="59"/>
      <c r="C68" s="60"/>
      <c r="D68" s="60"/>
      <c r="E68" s="60"/>
      <c r="F68" s="60"/>
      <c r="G68" s="60"/>
      <c r="H68" s="60"/>
      <c r="I68" s="61"/>
      <c r="J68" s="60"/>
      <c r="K68" s="60"/>
      <c r="L68" s="60"/>
      <c r="M68" s="61"/>
      <c r="N68" s="59"/>
      <c r="O68" s="59"/>
      <c r="P68" s="59"/>
      <c r="Q68" s="59"/>
      <c r="R68" s="59"/>
      <c r="S68" s="59"/>
      <c r="T68" s="59"/>
      <c r="U68" s="59"/>
      <c r="V68" s="59"/>
      <c r="W68" s="59"/>
    </row>
  </sheetData>
  <sheetProtection/>
  <printOptions/>
  <pageMargins left="0.3937007874015748" right="0.2755905511811024" top="0.3937007874015748" bottom="0.3937007874015748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Ásta Þórarinsdóttir</dc:creator>
  <cp:keywords/>
  <dc:description/>
  <cp:lastModifiedBy>Arnar Jón Sigurgeirsson</cp:lastModifiedBy>
  <cp:lastPrinted>2000-05-24T17:20:34Z</cp:lastPrinted>
  <dcterms:created xsi:type="dcterms:W3CDTF">1998-02-16T11:29:36Z</dcterms:created>
  <dcterms:modified xsi:type="dcterms:W3CDTF">2012-03-16T14:36:02Z</dcterms:modified>
  <cp:category/>
  <cp:version/>
  <cp:contentType/>
  <cp:contentStatus/>
</cp:coreProperties>
</file>